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80" windowWidth="15120" windowHeight="8270" tabRatio="830"/>
  </bookViews>
  <sheets>
    <sheet name="Overview" sheetId="10" r:id="rId1"/>
    <sheet name="NetInc_Loss qtrly" sheetId="13" r:id="rId2"/>
    <sheet name="NetLoss Qtrly trend" sheetId="7" state="hidden" r:id="rId3"/>
    <sheet name="NetLoss  (fy)" sheetId="5" state="hidden" r:id="rId4"/>
    <sheet name="NetInc_Loss yryr" sheetId="14" r:id="rId5"/>
    <sheet name="NetLoss yryr" sheetId="9" state="hidden" r:id="rId6"/>
    <sheet name="OperMrgn qtrly" sheetId="8" r:id="rId7"/>
    <sheet name="OperMrgn yryr" sheetId="12" r:id="rId8"/>
    <sheet name="Adj. EBITDA qtrly" sheetId="1" r:id="rId9"/>
    <sheet name="Adj. EBITDA yryr" sheetId="2" r:id="rId10"/>
    <sheet name="Qtrly CashFlows FY12" sheetId="11" state="hidden" r:id="rId11"/>
  </sheets>
  <calcPr calcId="125725"/>
</workbook>
</file>

<file path=xl/calcChain.xml><?xml version="1.0" encoding="utf-8"?>
<calcChain xmlns="http://schemas.openxmlformats.org/spreadsheetml/2006/main">
  <c r="L25" i="13"/>
  <c r="L24"/>
  <c r="K25"/>
  <c r="K24"/>
  <c r="J25"/>
  <c r="J24"/>
  <c r="I25"/>
  <c r="I24"/>
  <c r="H25"/>
  <c r="H24"/>
  <c r="G25"/>
  <c r="G24"/>
  <c r="F25"/>
  <c r="F24"/>
  <c r="E25"/>
  <c r="E24"/>
  <c r="D25"/>
  <c r="D24"/>
  <c r="C25" l="1"/>
  <c r="C24"/>
  <c r="C25" i="14"/>
  <c r="C24"/>
  <c r="F25"/>
  <c r="F24"/>
  <c r="E25"/>
  <c r="E24"/>
  <c r="F11" i="12" l="1"/>
  <c r="F12"/>
  <c r="E11"/>
  <c r="E12"/>
  <c r="D12"/>
  <c r="D11"/>
  <c r="C12"/>
  <c r="C11"/>
  <c r="D22" i="14"/>
  <c r="C22"/>
  <c r="E15" i="2"/>
  <c r="F15"/>
  <c r="C16" i="1"/>
  <c r="C5"/>
  <c r="C5" i="2" s="1"/>
  <c r="C6" i="12"/>
  <c r="F15"/>
  <c r="C15"/>
  <c r="E15"/>
  <c r="F13"/>
  <c r="F18" s="1"/>
  <c r="F6"/>
  <c r="F17" s="1"/>
  <c r="E6"/>
  <c r="E13" s="1"/>
  <c r="P16" i="8"/>
  <c r="P7"/>
  <c r="P11"/>
  <c r="P12"/>
  <c r="P13"/>
  <c r="P6"/>
  <c r="P14" s="1"/>
  <c r="P19" s="1"/>
  <c r="C23" i="14"/>
  <c r="N16" i="1"/>
  <c r="M16"/>
  <c r="L16"/>
  <c r="K16"/>
  <c r="J16"/>
  <c r="I16"/>
  <c r="H16"/>
  <c r="G16"/>
  <c r="F16"/>
  <c r="E16"/>
  <c r="D16"/>
  <c r="D15" i="12"/>
  <c r="D15" i="2" s="1"/>
  <c r="C15"/>
  <c r="D6" i="12"/>
  <c r="D13" s="1"/>
  <c r="C24" i="8"/>
  <c r="C18"/>
  <c r="C14"/>
  <c r="C19" s="1"/>
  <c r="C13" i="14"/>
  <c r="C6"/>
  <c r="C20" s="1"/>
  <c r="D7" i="2"/>
  <c r="D8"/>
  <c r="D9"/>
  <c r="D10"/>
  <c r="D11"/>
  <c r="D12"/>
  <c r="C7"/>
  <c r="C8"/>
  <c r="C9"/>
  <c r="C10"/>
  <c r="C12"/>
  <c r="F7"/>
  <c r="F8"/>
  <c r="F9"/>
  <c r="F10"/>
  <c r="F12"/>
  <c r="E7"/>
  <c r="E8"/>
  <c r="E9"/>
  <c r="E10"/>
  <c r="E12"/>
  <c r="E19" i="14"/>
  <c r="F19"/>
  <c r="E12"/>
  <c r="F12"/>
  <c r="F7"/>
  <c r="F8"/>
  <c r="F9"/>
  <c r="F10"/>
  <c r="F11"/>
  <c r="F13"/>
  <c r="F6"/>
  <c r="E7"/>
  <c r="E8"/>
  <c r="E9"/>
  <c r="E10"/>
  <c r="E11"/>
  <c r="E13"/>
  <c r="D6"/>
  <c r="D14" s="1"/>
  <c r="D17" s="1"/>
  <c r="D21" s="1"/>
  <c r="E6"/>
  <c r="D24" l="1"/>
  <c r="D25"/>
  <c r="E18" i="12"/>
  <c r="C13"/>
  <c r="D16" i="14"/>
  <c r="E17" i="12"/>
  <c r="C14" i="14"/>
  <c r="C17" s="1"/>
  <c r="C16"/>
  <c r="P18" i="8"/>
  <c r="E20" i="14"/>
  <c r="F20"/>
  <c r="E14"/>
  <c r="E17" s="1"/>
  <c r="F16"/>
  <c r="F14"/>
  <c r="F17" s="1"/>
  <c r="E16"/>
  <c r="F21" l="1"/>
  <c r="C21"/>
  <c r="E21"/>
  <c r="D20"/>
  <c r="C11" i="1"/>
  <c r="C6"/>
  <c r="C13" i="13"/>
  <c r="C14" s="1"/>
  <c r="C17" s="1"/>
  <c r="C20"/>
  <c r="C16"/>
  <c r="D6" i="1"/>
  <c r="D5"/>
  <c r="E5" i="2" s="1"/>
  <c r="D24" i="8"/>
  <c r="D18"/>
  <c r="D14"/>
  <c r="D19" s="1"/>
  <c r="D17" i="9"/>
  <c r="C17"/>
  <c r="D11"/>
  <c r="D6"/>
  <c r="C6"/>
  <c r="C12" s="1"/>
  <c r="D19" i="13"/>
  <c r="D6"/>
  <c r="D20"/>
  <c r="D16"/>
  <c r="D14"/>
  <c r="D17" s="1"/>
  <c r="D21" s="1"/>
  <c r="N24" i="8"/>
  <c r="M24"/>
  <c r="L24"/>
  <c r="K24"/>
  <c r="J24"/>
  <c r="I24"/>
  <c r="H24"/>
  <c r="G24"/>
  <c r="F24"/>
  <c r="E24"/>
  <c r="E20" i="13"/>
  <c r="E17"/>
  <c r="E21" s="1"/>
  <c r="E16"/>
  <c r="E14"/>
  <c r="L19"/>
  <c r="J19"/>
  <c r="H19"/>
  <c r="F19"/>
  <c r="F16"/>
  <c r="F20" s="1"/>
  <c r="F14"/>
  <c r="F17" s="1"/>
  <c r="F21" s="1"/>
  <c r="K13"/>
  <c r="J13"/>
  <c r="I13"/>
  <c r="H13"/>
  <c r="F13"/>
  <c r="L6"/>
  <c r="L16" s="1"/>
  <c r="L20" s="1"/>
  <c r="K6"/>
  <c r="K14" s="1"/>
  <c r="K17" s="1"/>
  <c r="K21" s="1"/>
  <c r="J6"/>
  <c r="J16" s="1"/>
  <c r="J20" s="1"/>
  <c r="I6"/>
  <c r="I14" s="1"/>
  <c r="I17" s="1"/>
  <c r="I21" s="1"/>
  <c r="H6"/>
  <c r="H16" s="1"/>
  <c r="H20" s="1"/>
  <c r="G6"/>
  <c r="G14" s="1"/>
  <c r="G17" s="1"/>
  <c r="G21" s="1"/>
  <c r="C21" l="1"/>
  <c r="C11" i="2"/>
  <c r="D14" i="1"/>
  <c r="D17" s="1"/>
  <c r="C6" i="2"/>
  <c r="C14" i="1"/>
  <c r="C17" s="1"/>
  <c r="H14" i="13"/>
  <c r="H17" s="1"/>
  <c r="H21" s="1"/>
  <c r="J14"/>
  <c r="J17" s="1"/>
  <c r="J21" s="1"/>
  <c r="L14"/>
  <c r="L17" s="1"/>
  <c r="L21" s="1"/>
  <c r="G16"/>
  <c r="G20" s="1"/>
  <c r="I16"/>
  <c r="I20" s="1"/>
  <c r="K16"/>
  <c r="K20" s="1"/>
  <c r="E6" i="1" l="1"/>
  <c r="E14"/>
  <c r="E17" s="1"/>
  <c r="E14" i="8"/>
  <c r="E19" s="1"/>
  <c r="E18"/>
  <c r="D12" i="9"/>
  <c r="D15" s="1"/>
  <c r="D19" s="1"/>
  <c r="D22" s="1"/>
  <c r="D14"/>
  <c r="D18"/>
  <c r="D21" s="1"/>
  <c r="C16" i="7"/>
  <c r="C18" s="1"/>
  <c r="C20" s="1"/>
  <c r="C14"/>
  <c r="F6" i="8"/>
  <c r="G6"/>
  <c r="D17" i="12"/>
  <c r="C17"/>
  <c r="C22" i="7" l="1"/>
  <c r="C23" s="1"/>
  <c r="C13" i="2"/>
  <c r="C16" s="1"/>
  <c r="C18" i="12"/>
  <c r="D18"/>
  <c r="F11" i="1"/>
  <c r="E11" i="2" s="1"/>
  <c r="F6" i="1"/>
  <c r="F14" s="1"/>
  <c r="F17" s="1"/>
  <c r="F14" i="8"/>
  <c r="F19" s="1"/>
  <c r="F18"/>
  <c r="D17" i="7"/>
  <c r="D13"/>
  <c r="D14" s="1"/>
  <c r="D22" s="1"/>
  <c r="D23" s="1"/>
  <c r="D16"/>
  <c r="C18" i="9"/>
  <c r="C21" s="1"/>
  <c r="D20" i="5"/>
  <c r="C20"/>
  <c r="C15" i="9"/>
  <c r="C14"/>
  <c r="H6" i="8"/>
  <c r="I6"/>
  <c r="I14" s="1"/>
  <c r="I19" s="1"/>
  <c r="J6"/>
  <c r="J14" s="1"/>
  <c r="J19" s="1"/>
  <c r="K6"/>
  <c r="L6"/>
  <c r="L14" s="1"/>
  <c r="L19" s="1"/>
  <c r="M6"/>
  <c r="M14" s="1"/>
  <c r="M19" s="1"/>
  <c r="N6"/>
  <c r="N14" s="1"/>
  <c r="N19" s="1"/>
  <c r="Q7"/>
  <c r="R7"/>
  <c r="Q11"/>
  <c r="R11"/>
  <c r="Q12"/>
  <c r="R12"/>
  <c r="Q13"/>
  <c r="R13"/>
  <c r="G14"/>
  <c r="K14"/>
  <c r="Q16"/>
  <c r="R16"/>
  <c r="G18"/>
  <c r="H18"/>
  <c r="I18"/>
  <c r="J18"/>
  <c r="K18"/>
  <c r="L18"/>
  <c r="M18"/>
  <c r="N18"/>
  <c r="G19"/>
  <c r="K19"/>
  <c r="I6" i="7"/>
  <c r="E6"/>
  <c r="K5" i="1"/>
  <c r="G6"/>
  <c r="G5"/>
  <c r="D5" i="2" l="1"/>
  <c r="E6"/>
  <c r="E13" s="1"/>
  <c r="E16" s="1"/>
  <c r="D6"/>
  <c r="D18" i="7"/>
  <c r="Q6" i="8"/>
  <c r="Q18" s="1"/>
  <c r="C19" i="9"/>
  <c r="C22" s="1"/>
  <c r="D20" i="7"/>
  <c r="Q14" i="8"/>
  <c r="Q19" s="1"/>
  <c r="H14"/>
  <c r="H19" s="1"/>
  <c r="R6"/>
  <c r="R14" s="1"/>
  <c r="R19" s="1"/>
  <c r="E14" i="7"/>
  <c r="I13"/>
  <c r="I14" s="1"/>
  <c r="H13"/>
  <c r="G13"/>
  <c r="F13"/>
  <c r="C13" i="5"/>
  <c r="J17" i="7"/>
  <c r="H17"/>
  <c r="F17"/>
  <c r="J6"/>
  <c r="J16" s="1"/>
  <c r="H6"/>
  <c r="H16" s="1"/>
  <c r="G6"/>
  <c r="F6"/>
  <c r="F16" s="1"/>
  <c r="E16"/>
  <c r="E18" s="1"/>
  <c r="E20" s="1"/>
  <c r="D13" i="2" l="1"/>
  <c r="D16" s="1"/>
  <c r="E22" i="7"/>
  <c r="E23" s="1"/>
  <c r="I22"/>
  <c r="I23" s="1"/>
  <c r="H18"/>
  <c r="H20" s="1"/>
  <c r="R18" i="8"/>
  <c r="G14" i="7"/>
  <c r="F18"/>
  <c r="F20" s="1"/>
  <c r="J18"/>
  <c r="J20" s="1"/>
  <c r="F14"/>
  <c r="H14"/>
  <c r="J14"/>
  <c r="G16"/>
  <c r="G18" s="1"/>
  <c r="G20" s="1"/>
  <c r="I16"/>
  <c r="I18" s="1"/>
  <c r="I20" s="1"/>
  <c r="D23" i="5"/>
  <c r="C23"/>
  <c r="D19"/>
  <c r="C6"/>
  <c r="C19"/>
  <c r="D6"/>
  <c r="J22" i="7" l="1"/>
  <c r="J23" s="1"/>
  <c r="F22"/>
  <c r="F23" s="1"/>
  <c r="H22"/>
  <c r="H23" s="1"/>
  <c r="G22"/>
  <c r="G23" s="1"/>
  <c r="C16" i="5"/>
  <c r="C14"/>
  <c r="D16"/>
  <c r="D14"/>
  <c r="G14" i="1"/>
  <c r="G17" s="1"/>
  <c r="H11"/>
  <c r="F11" i="2" s="1"/>
  <c r="H6" i="1"/>
  <c r="H5"/>
  <c r="I5"/>
  <c r="J5"/>
  <c r="L5"/>
  <c r="M5"/>
  <c r="M14" s="1"/>
  <c r="M17" s="1"/>
  <c r="N5"/>
  <c r="I6"/>
  <c r="J6"/>
  <c r="K6"/>
  <c r="L6"/>
  <c r="M6"/>
  <c r="N6"/>
  <c r="I11"/>
  <c r="J11"/>
  <c r="K11"/>
  <c r="L12"/>
  <c r="F6" i="2" l="1"/>
  <c r="H14" i="1"/>
  <c r="H17" s="1"/>
  <c r="F5" i="2"/>
  <c r="I14" i="1"/>
  <c r="I17" s="1"/>
  <c r="D17" i="5"/>
  <c r="D21" s="1"/>
  <c r="K14" i="1"/>
  <c r="K17" s="1"/>
  <c r="N14"/>
  <c r="N17" s="1"/>
  <c r="L14"/>
  <c r="L17" s="1"/>
  <c r="J14"/>
  <c r="J17" s="1"/>
  <c r="F13" i="2" l="1"/>
  <c r="F16" s="1"/>
  <c r="D24" i="5"/>
  <c r="C17"/>
  <c r="C21" s="1"/>
  <c r="C24" l="1"/>
</calcChain>
</file>

<file path=xl/comments1.xml><?xml version="1.0" encoding="utf-8"?>
<comments xmlns="http://schemas.openxmlformats.org/spreadsheetml/2006/main">
  <authors>
    <author>vrosa</author>
  </authors>
  <commentList>
    <comment ref="F5" authorId="0">
      <text>
        <r>
          <rPr>
            <b/>
            <sz val="8"/>
            <color indexed="81"/>
            <rFont val="Tahoma"/>
            <family val="2"/>
          </rPr>
          <t>includes remaining proxy costs of 328,000</t>
        </r>
      </text>
    </comment>
    <comment ref="G5" authorId="0">
      <text>
        <r>
          <rPr>
            <b/>
            <sz val="8"/>
            <color indexed="81"/>
            <rFont val="Tahoma"/>
            <family val="2"/>
          </rPr>
          <t xml:space="preserve">includes remaining proxy costs of $2,229,000
</t>
        </r>
      </text>
    </comment>
  </commentList>
</comments>
</file>

<file path=xl/sharedStrings.xml><?xml version="1.0" encoding="utf-8"?>
<sst xmlns="http://schemas.openxmlformats.org/spreadsheetml/2006/main" count="327" uniqueCount="134">
  <si>
    <t>Adjusted  EBITDA</t>
  </si>
  <si>
    <t>Plus intangible asset impairment</t>
  </si>
  <si>
    <t>Plus stock-based compensation</t>
  </si>
  <si>
    <t>Less change in fair value of warrant liabilities</t>
  </si>
  <si>
    <t>Plus amortization expense</t>
  </si>
  <si>
    <t>Plus depreciation expense</t>
  </si>
  <si>
    <t>Plus income tax expense</t>
  </si>
  <si>
    <t>Plus interest expenses</t>
  </si>
  <si>
    <t>Less interest income</t>
  </si>
  <si>
    <t>Net loss</t>
  </si>
  <si>
    <t>1Q FY11 9/30/2010</t>
  </si>
  <si>
    <t>2Q FY11 12/31/2010</t>
  </si>
  <si>
    <t>3Q FY11  3/31/2011</t>
  </si>
  <si>
    <t>4Q FY11  6/30/2011</t>
  </si>
  <si>
    <t>1Q FY12 9/30/2011</t>
  </si>
  <si>
    <t>2Q FY12 12/31/2011</t>
  </si>
  <si>
    <t>Adjusted EBITDA - Non GAAP Reconciliation</t>
  </si>
  <si>
    <t>USA Technologies</t>
  </si>
  <si>
    <t>3Q FY12 3/31/2012</t>
  </si>
  <si>
    <t>4Q FY12 6/30/2012</t>
  </si>
  <si>
    <t>Loss applicable to common shares</t>
  </si>
  <si>
    <t>Non-GAAP adjustments:</t>
  </si>
  <si>
    <t xml:space="preserve">  Proxy related costs</t>
  </si>
  <si>
    <t>Weighted average number of common shares outstanding (basic and diluted)</t>
  </si>
  <si>
    <t>Non-GAAP loss applicable to common shares</t>
  </si>
  <si>
    <t>Fiscal Year Ended</t>
  </si>
  <si>
    <t>Three Months Ended</t>
  </si>
  <si>
    <t xml:space="preserve">    Proxy related costs</t>
  </si>
  <si>
    <t>Operating expenses</t>
  </si>
  <si>
    <t xml:space="preserve">  Selling, general and administrative</t>
  </si>
  <si>
    <t>Impairment of intangible asset</t>
  </si>
  <si>
    <t>Net Loss</t>
  </si>
  <si>
    <t>Non-GAAP net loss</t>
  </si>
  <si>
    <t>Cumulative preferred dividends</t>
  </si>
  <si>
    <t>Non-GAAP loss per common share</t>
  </si>
  <si>
    <t>Loss per common share</t>
  </si>
  <si>
    <t>Non GAAP Reconciliation</t>
  </si>
  <si>
    <t>Net Loss and Loss Applicable to Common Shares</t>
  </si>
  <si>
    <t>Operating Margin</t>
  </si>
  <si>
    <t>Revenues</t>
  </si>
  <si>
    <t>Operating Margin, Non-GAAP</t>
  </si>
  <si>
    <t>FY2012</t>
  </si>
  <si>
    <t>FY2011</t>
  </si>
  <si>
    <t>Fair value of warrant adjustment</t>
  </si>
  <si>
    <t xml:space="preserve">   CEO separation</t>
  </si>
  <si>
    <t xml:space="preserve">  CEO separation</t>
  </si>
  <si>
    <t>FISCAL YE 06/30/2012</t>
  </si>
  <si>
    <t>UNAUDITED</t>
  </si>
  <si>
    <t>YEAR ENDED JUNE 30, 2012</t>
  </si>
  <si>
    <t>First Quarter</t>
  </si>
  <si>
    <t>Second Quarter</t>
  </si>
  <si>
    <t>Third Quarter</t>
  </si>
  <si>
    <t>Fourth Quarter</t>
  </si>
  <si>
    <t>Year</t>
  </si>
  <si>
    <t>Adjustments to reconcile net loss to net cash used in operating activities:</t>
  </si>
  <si>
    <t xml:space="preserve">Charges incurred in connection with the vesting and issuance </t>
  </si>
  <si>
    <t xml:space="preserve">     of common stock for employee and director compensation</t>
  </si>
  <si>
    <t>Charges incurred in connection with the Long-term Equity Incentive Plan</t>
  </si>
  <si>
    <t>Charges incurred (reduced) for change in fair value of warrants</t>
  </si>
  <si>
    <t>(Gain) Loss on disposal of property and equipment</t>
  </si>
  <si>
    <t>Depreciation</t>
  </si>
  <si>
    <t>Amortization</t>
  </si>
  <si>
    <t>Bad debt expense (recovery)</t>
  </si>
  <si>
    <t>Provision for deferred tax liability</t>
  </si>
  <si>
    <t>Changes in operating assets and liabilities:</t>
  </si>
  <si>
    <t>Accounts receivable</t>
  </si>
  <si>
    <t>Finance receivables</t>
  </si>
  <si>
    <t>Inventory</t>
  </si>
  <si>
    <t>Prepaid expenses and other assets</t>
  </si>
  <si>
    <t>Accounts payable</t>
  </si>
  <si>
    <t>Accrued expenses</t>
  </si>
  <si>
    <t xml:space="preserve">  </t>
  </si>
  <si>
    <t>Net cash provided by (used in) operating activities</t>
  </si>
  <si>
    <t>INVESTING ACTIVITIES:</t>
  </si>
  <si>
    <t>Purchase of property and equipment, net</t>
  </si>
  <si>
    <t>Purchase of property for rental program, net</t>
  </si>
  <si>
    <t>Net cash used in investing activities</t>
  </si>
  <si>
    <t>FINANCING ACTIVITIES:</t>
  </si>
  <si>
    <t>Net proceeds from the issuance (payments for retirement) of common stock and exercise of common stock warrants</t>
  </si>
  <si>
    <t>Repayment of long-term debt</t>
  </si>
  <si>
    <t>Net cash provided by (used in) financing activities</t>
  </si>
  <si>
    <t>Net increase (decrease) in cash and cash equivalents</t>
  </si>
  <si>
    <t>Cash and cash equivalents at beginning of period</t>
  </si>
  <si>
    <t>Cash and cash equivalents at end of period</t>
  </si>
  <si>
    <t>Supplemental disclosures of cash flow information:</t>
  </si>
  <si>
    <t>Cash paid for interest</t>
  </si>
  <si>
    <t>Equipment and software acquired under capital lease</t>
  </si>
  <si>
    <t>Equipment and software financed with long-term debt</t>
  </si>
  <si>
    <t>Prepaid expenses financed with long-term debt</t>
  </si>
  <si>
    <t>Disposal of property and equipment</t>
  </si>
  <si>
    <t>Conversion of convertible preferred stock to common stock</t>
  </si>
  <si>
    <t>Conversion of cumulative preferred dividends to common stock</t>
  </si>
  <si>
    <t>Fair value of warrants at issuance</t>
  </si>
  <si>
    <t>FISCAL YE 06/30/2011</t>
  </si>
  <si>
    <t>YEAR ENDED JUNE 30, 2011</t>
  </si>
  <si>
    <t>Net cash provided by (used in) investing activities</t>
  </si>
  <si>
    <t>STATEMENT OF CASH FLOWS</t>
  </si>
  <si>
    <t xml:space="preserve">Discussion of Non-GAAP Financial Measures   </t>
  </si>
  <si>
    <t>USA TECHNOLOGIES</t>
  </si>
  <si>
    <t>NON-GAAP RECONCILIATIONS</t>
  </si>
  <si>
    <t>(as adjusted for reclass of JumpStart connections to Investing Section)</t>
  </si>
  <si>
    <t>In this file and during the earnings conference calls, presentations and webcasts, USA Technologies, Inc. used and plans to discuss certain non-GAAP financial measures. Generally, a non-GAAP financial measure is a numerical measure of a company’s performance, financial position or cash flows that either excludes or includes amounts that are not normally excluded or included in the most directly comparable measure calculated and presented in accordance with GAAP.  Reconciliations between non-GAAP and GAAP measures are contained within this file.</t>
  </si>
  <si>
    <t xml:space="preserve">Adjusted EBITDA represents net income (loss) before interest income, interest expense, income taxes, depreciation, amortization, and change in fair value of warrant liabilities and stock-based compensation expense and impairment expense on intangible assets. We have excluded the non-operating item, change in fair value of warrant liabilities, because it represents a non-cash charge that is not related to USAT’s operations.  We have excluded the non-cash expenses, stock-based compensation and impairment expense, as they do not reflect the cash-based operations of USAT.  Adjusted EBITDA is presented because we believe it is useful to investors as a measure of comparative operating performance and liquidity, and because it is less susceptible to variances in actual performance resulting from depreciation and amortization and non-cash charges for changes in fair value of warrant liabilities and stock-based compensation expense.
</t>
  </si>
  <si>
    <t>1Q FY13 9/30/2012</t>
  </si>
  <si>
    <t>Net income (loss)</t>
  </si>
  <si>
    <t>Three months ended</t>
  </si>
  <si>
    <t>Reconciliation of GAAP Net Earnings to Adjusted Earnings Before Interest, Taxes, Depreciation and Amortization (Adjusted EBITDA)</t>
  </si>
  <si>
    <t xml:space="preserve">Reconciliation of Operating Margin to Non-GAAP Operating Margin </t>
  </si>
  <si>
    <t>2Q FY13 12/31/2012</t>
  </si>
  <si>
    <t>Non-GAAP net income (loss)</t>
  </si>
  <si>
    <t>Operating income (loss)</t>
  </si>
  <si>
    <t>Operating income (loss), Non-GAAP</t>
  </si>
  <si>
    <t>Income (loss) applicable to common shares</t>
  </si>
  <si>
    <t xml:space="preserve">Diluted weighted average number of common shares outstanding </t>
  </si>
  <si>
    <t>Diluted earnings (loss) per common share</t>
  </si>
  <si>
    <t>Non-GAAP diluted earnings (loss) per common share</t>
  </si>
  <si>
    <t>Operating Expenses</t>
  </si>
  <si>
    <t>GAAP</t>
  </si>
  <si>
    <t>Non-GAAP</t>
  </si>
  <si>
    <t>Net income (loss) applicable to common shares</t>
  </si>
  <si>
    <t>Non-GAAP net income (loss) applicable to common shares</t>
  </si>
  <si>
    <t>Non-GAAP operating margin represents GAAP operating income (loss) excluding costs relating to the proxy contest, the costs associated with the separation of the former CEO, and any charges for impairment of intangible assets divided by total revenues. Non-GAAP net income (loss) represents GAAP net income (loss) excluding costs relating to the proxy contest, the costs associated with the separation of the former CEO, any adjustment for fair value of warrant liabilities, and any charges for impairment of intangible assets.</t>
  </si>
  <si>
    <t>Net earnings (loss) per common share - diluted</t>
  </si>
  <si>
    <t>Non-GAAP net earnings (loss) per common share - diluted</t>
  </si>
  <si>
    <t>The following measures non-GAAP financial measures are discussed herein: adjusted EBITDA, non-GAAP operating margin, non-GAAP net income (loss) and non-GAAP net earnings per common share - diluted. The presentation of these additional financial measures are not intended to be considered in isolation from, or superior to, or as a substitute for the financial measures prepared and presented in accordance with GAAP (Generally Accepted Accounting Principles), including the net income or net loss of USAT or net cash used in operating activities. Management recognizes that non-GAAP financial measures have limitations in that they do not reflect all of the items associated with USAT’s net income or net loss as determined in accordance with GAAP.  These non-GAAP financial measures are not required by or defined under GAAP and may be materially different from the non-GAAP financial measures used by other companies. USAT has provided reconciliations of the non-GAAP financial measures to the most directly comparable GAAP financial measures.</t>
  </si>
  <si>
    <t xml:space="preserve">Non-GAAP net earnings (loss) per common share - diluted is calculated by dividing non-GAAP net income (loss) applicable to common shares by the number of diluted weighted average shares outstanding.  </t>
  </si>
  <si>
    <t>Management believes that non-GAAP operating margin, non-GAAP net income (loss), non-GAAP net earnings per common share - diluted and adjusted EBITDA are important measures of USAT’s business. Management uses the aforementioned non-GAAP measures to monitor and evaluate ongoing operating results and trends and to gain an understanding of our comparative operating performance. We believe that these non-GAAP financial measures serve as useful metrics for our management and investors because they enable a better understanding of the long-term performance of our core business and facilitate comparisons of our operating results over multiple periods, and when taken together with the corresponding GAAP financial measures and our reconciliations, enhance investors’ overall understanding of our current and future financial performance.</t>
  </si>
  <si>
    <t>Reconciliation of Net Income (Loss) to Non-GAAP Net Income (Loss) and Net Earnings (Loss) Per Common Share - Diluted to Non-GAAP Net Earnings (Loss) Per Common Share - Diluted</t>
  </si>
  <si>
    <t>3Q FY13 3/31/2013</t>
  </si>
  <si>
    <t>4Q FY13 6/30/2013</t>
  </si>
  <si>
    <t>Fiscal year ended</t>
  </si>
  <si>
    <t>FY2013</t>
  </si>
  <si>
    <t xml:space="preserve">Weighted average number of common shares outstanding </t>
  </si>
  <si>
    <t>version date:  09/27/13</t>
  </si>
</sst>
</file>

<file path=xl/styles.xml><?xml version="1.0" encoding="utf-8"?>
<styleSheet xmlns="http://schemas.openxmlformats.org/spreadsheetml/2006/main">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s>
  <fonts count="23">
    <font>
      <sz val="11"/>
      <color theme="1"/>
      <name val="Calibri"/>
      <family val="2"/>
      <scheme val="minor"/>
    </font>
    <font>
      <sz val="11"/>
      <color theme="1"/>
      <name val="Calibri"/>
      <family val="2"/>
      <scheme val="minor"/>
    </font>
    <font>
      <sz val="10"/>
      <color theme="1"/>
      <name val="Calibri"/>
      <family val="2"/>
      <scheme val="minor"/>
    </font>
    <font>
      <sz val="10"/>
      <color theme="1"/>
      <name val="Calibri"/>
      <family val="2"/>
    </font>
    <font>
      <b/>
      <sz val="10"/>
      <color theme="1"/>
      <name val="Calibri"/>
      <family val="2"/>
    </font>
    <font>
      <sz val="10"/>
      <name val="Calibri"/>
      <family val="2"/>
    </font>
    <font>
      <b/>
      <sz val="10"/>
      <color theme="0"/>
      <name val="Calibri"/>
      <family val="2"/>
    </font>
    <font>
      <sz val="10"/>
      <color theme="0"/>
      <name val="Calibri"/>
      <family val="2"/>
    </font>
    <font>
      <sz val="11"/>
      <color theme="1"/>
      <name val="Calibri"/>
      <family val="2"/>
    </font>
    <font>
      <b/>
      <sz val="14"/>
      <color theme="1"/>
      <name val="Calibri"/>
      <family val="2"/>
      <scheme val="minor"/>
    </font>
    <font>
      <sz val="11"/>
      <color rgb="FFFF0000"/>
      <name val="Calibri"/>
      <family val="2"/>
      <scheme val="minor"/>
    </font>
    <font>
      <b/>
      <sz val="10"/>
      <color theme="1"/>
      <name val="Calibri"/>
      <family val="2"/>
      <scheme val="minor"/>
    </font>
    <font>
      <b/>
      <sz val="11"/>
      <color theme="1"/>
      <name val="Calibri"/>
      <family val="2"/>
    </font>
    <font>
      <b/>
      <sz val="10"/>
      <name val="Calibri"/>
      <family val="2"/>
    </font>
    <font>
      <b/>
      <sz val="8"/>
      <color indexed="81"/>
      <name val="Tahoma"/>
      <family val="2"/>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b/>
      <sz val="16"/>
      <color theme="1"/>
      <name val="Calibri"/>
      <family val="2"/>
      <scheme val="minor"/>
    </font>
    <font>
      <b/>
      <sz val="11"/>
      <color rgb="FFFF0000"/>
      <name val="Calibri"/>
      <family val="2"/>
      <scheme val="minor"/>
    </font>
    <font>
      <sz val="11"/>
      <name val="Calibri"/>
      <family val="2"/>
    </font>
    <font>
      <b/>
      <sz val="11"/>
      <name val="Calibri"/>
      <family val="2"/>
    </font>
  </fonts>
  <fills count="13">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theme="0"/>
      </patternFill>
    </fill>
    <fill>
      <patternFill patternType="solid">
        <fgColor indexed="65"/>
        <bgColor theme="0"/>
      </patternFill>
    </fill>
    <fill>
      <patternFill patternType="solid">
        <fgColor theme="0" tint="-4.9989318521683403E-2"/>
        <bgColor theme="0"/>
      </patternFill>
    </fill>
    <fill>
      <patternFill patternType="solid">
        <fgColor theme="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0070C0"/>
        <bgColor indexed="64"/>
      </patternFill>
    </fill>
  </fills>
  <borders count="7">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2" fillId="0" borderId="0" xfId="0" applyFont="1"/>
    <xf numFmtId="0" fontId="2" fillId="2" borderId="0" xfId="0" applyFont="1" applyFill="1"/>
    <xf numFmtId="164" fontId="3" fillId="2" borderId="1" xfId="2" applyNumberFormat="1" applyFont="1" applyFill="1" applyBorder="1"/>
    <xf numFmtId="0" fontId="3" fillId="2" borderId="0" xfId="0" applyFont="1" applyFill="1"/>
    <xf numFmtId="0" fontId="4" fillId="2" borderId="0" xfId="0" applyFont="1" applyFill="1"/>
    <xf numFmtId="165" fontId="3" fillId="2" borderId="0" xfId="1" applyNumberFormat="1" applyFont="1" applyFill="1" applyBorder="1"/>
    <xf numFmtId="165" fontId="5" fillId="2" borderId="0" xfId="1" applyNumberFormat="1" applyFont="1" applyFill="1" applyBorder="1"/>
    <xf numFmtId="0" fontId="3" fillId="2" borderId="0" xfId="0" applyFont="1" applyFill="1" applyAlignment="1">
      <alignment wrapText="1"/>
    </xf>
    <xf numFmtId="164" fontId="3" fillId="2" borderId="0" xfId="2" applyNumberFormat="1" applyFont="1" applyFill="1"/>
    <xf numFmtId="14" fontId="6" fillId="3" borderId="0" xfId="0" applyNumberFormat="1" applyFont="1" applyFill="1" applyAlignment="1">
      <alignment horizontal="center" wrapText="1"/>
    </xf>
    <xf numFmtId="0" fontId="6" fillId="3" borderId="0" xfId="0" applyFont="1" applyFill="1"/>
    <xf numFmtId="0" fontId="8" fillId="2" borderId="0" xfId="0" applyFont="1" applyFill="1"/>
    <xf numFmtId="0" fontId="0" fillId="2" borderId="0" xfId="0" applyFill="1"/>
    <xf numFmtId="0" fontId="9" fillId="0" borderId="0" xfId="0" applyFont="1"/>
    <xf numFmtId="164" fontId="3" fillId="0" borderId="1" xfId="2" applyNumberFormat="1" applyFont="1" applyFill="1" applyBorder="1"/>
    <xf numFmtId="0" fontId="2" fillId="2" borderId="0" xfId="0" applyFont="1" applyFill="1" applyAlignment="1">
      <alignment wrapText="1"/>
    </xf>
    <xf numFmtId="0" fontId="11" fillId="2" borderId="0" xfId="0" applyFont="1" applyFill="1" applyAlignment="1">
      <alignment wrapText="1"/>
    </xf>
    <xf numFmtId="165" fontId="2" fillId="2" borderId="0" xfId="1" applyNumberFormat="1" applyFont="1" applyFill="1" applyBorder="1"/>
    <xf numFmtId="165" fontId="2" fillId="2" borderId="3" xfId="1" applyNumberFormat="1" applyFont="1" applyFill="1" applyBorder="1"/>
    <xf numFmtId="44" fontId="2" fillId="2" borderId="3" xfId="2" applyFont="1" applyFill="1" applyBorder="1"/>
    <xf numFmtId="44" fontId="2" fillId="2" borderId="4" xfId="2" applyFont="1" applyFill="1" applyBorder="1"/>
    <xf numFmtId="164" fontId="2" fillId="0" borderId="0" xfId="0" applyNumberFormat="1" applyFont="1"/>
    <xf numFmtId="0" fontId="13" fillId="2" borderId="0" xfId="0" applyFont="1" applyFill="1"/>
    <xf numFmtId="14" fontId="13" fillId="2" borderId="5" xfId="0" applyNumberFormat="1" applyFont="1" applyFill="1" applyBorder="1" applyAlignment="1">
      <alignment horizontal="center" wrapText="1"/>
    </xf>
    <xf numFmtId="164" fontId="3" fillId="0" borderId="3" xfId="2" applyNumberFormat="1" applyFont="1" applyFill="1" applyBorder="1"/>
    <xf numFmtId="164" fontId="3" fillId="0" borderId="0" xfId="2" applyNumberFormat="1" applyFont="1" applyFill="1" applyBorder="1"/>
    <xf numFmtId="164" fontId="3" fillId="2" borderId="0" xfId="2" applyNumberFormat="1" applyFont="1" applyFill="1" applyBorder="1"/>
    <xf numFmtId="0" fontId="3" fillId="5" borderId="0" xfId="0" applyFont="1" applyFill="1"/>
    <xf numFmtId="164" fontId="3" fillId="5" borderId="0" xfId="2" applyNumberFormat="1" applyFont="1" applyFill="1" applyBorder="1"/>
    <xf numFmtId="0" fontId="8" fillId="6" borderId="0" xfId="0" applyFont="1" applyFill="1"/>
    <xf numFmtId="0" fontId="6" fillId="6" borderId="0" xfId="0" applyFont="1" applyFill="1"/>
    <xf numFmtId="0" fontId="7" fillId="6" borderId="0" xfId="0" applyFont="1" applyFill="1"/>
    <xf numFmtId="14" fontId="13" fillId="6" borderId="2" xfId="0" applyNumberFormat="1" applyFont="1" applyFill="1" applyBorder="1" applyAlignment="1">
      <alignment horizontal="center" wrapText="1"/>
    </xf>
    <xf numFmtId="0" fontId="4" fillId="6" borderId="0" xfId="0" applyFont="1" applyFill="1"/>
    <xf numFmtId="0" fontId="3" fillId="6" borderId="0" xfId="0" applyFont="1" applyFill="1"/>
    <xf numFmtId="164" fontId="3" fillId="6" borderId="0" xfId="2" applyNumberFormat="1" applyFont="1" applyFill="1"/>
    <xf numFmtId="165" fontId="3" fillId="6" borderId="0" xfId="1" applyNumberFormat="1" applyFont="1" applyFill="1" applyBorder="1"/>
    <xf numFmtId="164" fontId="4" fillId="7" borderId="1" xfId="2" applyNumberFormat="1" applyFont="1" applyFill="1" applyBorder="1"/>
    <xf numFmtId="164" fontId="4" fillId="7" borderId="0" xfId="2" applyNumberFormat="1" applyFont="1" applyFill="1" applyBorder="1"/>
    <xf numFmtId="0" fontId="3" fillId="8" borderId="0" xfId="0" applyFont="1" applyFill="1"/>
    <xf numFmtId="164" fontId="3" fillId="8" borderId="0" xfId="2" applyNumberFormat="1" applyFont="1" applyFill="1" applyBorder="1"/>
    <xf numFmtId="164" fontId="3" fillId="7" borderId="0" xfId="2" applyNumberFormat="1" applyFont="1" applyFill="1" applyBorder="1"/>
    <xf numFmtId="165" fontId="3" fillId="7" borderId="2" xfId="1" applyNumberFormat="1" applyFont="1" applyFill="1" applyBorder="1"/>
    <xf numFmtId="164" fontId="3" fillId="8" borderId="3" xfId="2" applyNumberFormat="1" applyFont="1" applyFill="1" applyBorder="1"/>
    <xf numFmtId="0" fontId="4" fillId="8" borderId="0" xfId="0" applyFont="1" applyFill="1"/>
    <xf numFmtId="0" fontId="2" fillId="6" borderId="0" xfId="0" applyFont="1" applyFill="1" applyAlignment="1">
      <alignment wrapText="1"/>
    </xf>
    <xf numFmtId="0" fontId="2" fillId="6" borderId="0" xfId="0" applyFont="1" applyFill="1"/>
    <xf numFmtId="165" fontId="2" fillId="6" borderId="3" xfId="1" applyNumberFormat="1" applyFont="1" applyFill="1" applyBorder="1"/>
    <xf numFmtId="44" fontId="2" fillId="6" borderId="3" xfId="2" applyFont="1" applyFill="1" applyBorder="1"/>
    <xf numFmtId="0" fontId="11" fillId="6" borderId="0" xfId="0" applyFont="1" applyFill="1" applyAlignment="1">
      <alignment wrapText="1"/>
    </xf>
    <xf numFmtId="44" fontId="2" fillId="6" borderId="4" xfId="2" applyFont="1" applyFill="1" applyBorder="1"/>
    <xf numFmtId="164" fontId="3" fillId="2" borderId="3" xfId="2" applyNumberFormat="1" applyFont="1" applyFill="1" applyBorder="1"/>
    <xf numFmtId="14" fontId="6" fillId="2" borderId="0" xfId="0" applyNumberFormat="1" applyFont="1" applyFill="1" applyAlignment="1">
      <alignment horizontal="center" wrapText="1"/>
    </xf>
    <xf numFmtId="0" fontId="5" fillId="2" borderId="0" xfId="0" applyFont="1" applyFill="1"/>
    <xf numFmtId="166" fontId="2" fillId="2" borderId="3" xfId="3" applyNumberFormat="1" applyFont="1" applyFill="1" applyBorder="1"/>
    <xf numFmtId="166" fontId="2" fillId="2" borderId="4" xfId="3" applyNumberFormat="1" applyFont="1" applyFill="1" applyBorder="1"/>
    <xf numFmtId="164" fontId="2" fillId="2" borderId="0" xfId="0" applyNumberFormat="1" applyFont="1" applyFill="1"/>
    <xf numFmtId="165" fontId="2" fillId="2" borderId="0" xfId="1" applyNumberFormat="1" applyFont="1" applyFill="1"/>
    <xf numFmtId="164" fontId="3" fillId="6" borderId="1" xfId="2" applyNumberFormat="1" applyFont="1" applyFill="1" applyBorder="1"/>
    <xf numFmtId="165" fontId="3" fillId="2" borderId="2" xfId="1" applyNumberFormat="1" applyFont="1" applyFill="1" applyBorder="1"/>
    <xf numFmtId="164" fontId="3" fillId="6" borderId="3" xfId="2" applyNumberFormat="1" applyFont="1" applyFill="1" applyBorder="1"/>
    <xf numFmtId="164" fontId="0" fillId="0" borderId="0" xfId="0" applyNumberFormat="1"/>
    <xf numFmtId="44" fontId="0" fillId="0" borderId="0" xfId="0" applyNumberFormat="1"/>
    <xf numFmtId="43" fontId="0" fillId="0" borderId="0" xfId="0" applyNumberFormat="1"/>
    <xf numFmtId="165" fontId="0" fillId="0" borderId="0" xfId="0" applyNumberFormat="1"/>
    <xf numFmtId="0" fontId="16" fillId="0" borderId="0" xfId="0" applyFont="1"/>
    <xf numFmtId="0" fontId="16" fillId="0" borderId="0" xfId="0" applyFont="1" applyAlignment="1">
      <alignment horizontal="center"/>
    </xf>
    <xf numFmtId="0" fontId="0" fillId="4" borderId="0" xfId="0" applyFill="1"/>
    <xf numFmtId="164" fontId="0" fillId="4" borderId="0" xfId="0" applyNumberFormat="1" applyFill="1"/>
    <xf numFmtId="0" fontId="17" fillId="0" borderId="0" xfId="0" applyFont="1"/>
    <xf numFmtId="0" fontId="19" fillId="0" borderId="0" xfId="0" applyFont="1"/>
    <xf numFmtId="0" fontId="10" fillId="0" borderId="0" xfId="0" applyFont="1"/>
    <xf numFmtId="0" fontId="20" fillId="0" borderId="0" xfId="0" applyFont="1"/>
    <xf numFmtId="0" fontId="0" fillId="9" borderId="0" xfId="0" applyFill="1"/>
    <xf numFmtId="0" fontId="0" fillId="5" borderId="0" xfId="0" applyFill="1"/>
    <xf numFmtId="0" fontId="16" fillId="11" borderId="0" xfId="0" applyFont="1" applyFill="1"/>
    <xf numFmtId="0" fontId="9" fillId="2" borderId="0" xfId="0" applyFont="1" applyFill="1"/>
    <xf numFmtId="0" fontId="21" fillId="2" borderId="0" xfId="0" applyFont="1" applyFill="1"/>
    <xf numFmtId="14" fontId="22" fillId="2" borderId="2" xfId="0" applyNumberFormat="1" applyFont="1" applyFill="1" applyBorder="1"/>
    <xf numFmtId="0" fontId="9" fillId="2" borderId="0" xfId="0" applyFont="1" applyFill="1" applyAlignment="1">
      <alignment horizontal="left"/>
    </xf>
    <xf numFmtId="0" fontId="0" fillId="2" borderId="0" xfId="0" applyFill="1" applyAlignment="1">
      <alignment horizontal="left"/>
    </xf>
    <xf numFmtId="164" fontId="3" fillId="2" borderId="6" xfId="2" applyNumberFormat="1" applyFont="1" applyFill="1" applyBorder="1"/>
    <xf numFmtId="164" fontId="4" fillId="5" borderId="0" xfId="2" applyNumberFormat="1" applyFont="1" applyFill="1" applyBorder="1"/>
    <xf numFmtId="14" fontId="13" fillId="2" borderId="5" xfId="0" quotePrefix="1" applyNumberFormat="1" applyFont="1" applyFill="1" applyBorder="1" applyAlignment="1">
      <alignment horizontal="center" wrapText="1"/>
    </xf>
    <xf numFmtId="165" fontId="3" fillId="0" borderId="0" xfId="1" applyNumberFormat="1" applyFont="1" applyFill="1" applyBorder="1"/>
    <xf numFmtId="165" fontId="2" fillId="0" borderId="3" xfId="1" applyNumberFormat="1" applyFont="1" applyFill="1" applyBorder="1"/>
    <xf numFmtId="0" fontId="3" fillId="4" borderId="0" xfId="0" applyFont="1" applyFill="1"/>
    <xf numFmtId="165" fontId="3" fillId="4" borderId="2" xfId="1" applyNumberFormat="1" applyFont="1" applyFill="1" applyBorder="1"/>
    <xf numFmtId="164" fontId="4" fillId="5" borderId="1" xfId="2" applyNumberFormat="1" applyFont="1" applyFill="1" applyBorder="1"/>
    <xf numFmtId="0" fontId="4" fillId="5" borderId="0" xfId="0" applyFont="1" applyFill="1"/>
    <xf numFmtId="44" fontId="11" fillId="2" borderId="4" xfId="2" applyFont="1" applyFill="1" applyBorder="1"/>
    <xf numFmtId="44" fontId="11" fillId="2" borderId="3" xfId="2" applyFont="1" applyFill="1" applyBorder="1"/>
    <xf numFmtId="164" fontId="4" fillId="6" borderId="3" xfId="2" applyNumberFormat="1" applyFont="1" applyFill="1" applyBorder="1"/>
    <xf numFmtId="164" fontId="4" fillId="2" borderId="3" xfId="2" applyNumberFormat="1" applyFont="1" applyFill="1" applyBorder="1"/>
    <xf numFmtId="0" fontId="0" fillId="2" borderId="0" xfId="0" applyFill="1" applyAlignment="1">
      <alignment wrapText="1"/>
    </xf>
    <xf numFmtId="14" fontId="6" fillId="12" borderId="0" xfId="0" applyNumberFormat="1" applyFont="1" applyFill="1" applyAlignment="1">
      <alignment horizontal="center" wrapText="1"/>
    </xf>
    <xf numFmtId="0" fontId="13" fillId="12" borderId="0" xfId="0" applyFont="1" applyFill="1"/>
    <xf numFmtId="44" fontId="2" fillId="2" borderId="4" xfId="2" applyNumberFormat="1" applyFont="1" applyFill="1" applyBorder="1"/>
    <xf numFmtId="0" fontId="0" fillId="0" borderId="0" xfId="0"/>
    <xf numFmtId="9" fontId="3" fillId="2" borderId="0" xfId="3" applyFont="1" applyFill="1"/>
    <xf numFmtId="166" fontId="0" fillId="0" borderId="0" xfId="3" applyNumberFormat="1" applyFont="1"/>
    <xf numFmtId="0" fontId="11" fillId="2" borderId="0" xfId="0" applyFont="1" applyFill="1"/>
    <xf numFmtId="0" fontId="11" fillId="0" borderId="0" xfId="0" applyFont="1"/>
    <xf numFmtId="164" fontId="4" fillId="2" borderId="0" xfId="2" applyNumberFormat="1" applyFont="1" applyFill="1"/>
    <xf numFmtId="164" fontId="4" fillId="2" borderId="1" xfId="2" applyNumberFormat="1" applyFont="1" applyFill="1" applyBorder="1"/>
    <xf numFmtId="166" fontId="2" fillId="2" borderId="0" xfId="3" applyNumberFormat="1" applyFont="1" applyFill="1"/>
    <xf numFmtId="3" fontId="0" fillId="0" borderId="0" xfId="0" applyNumberFormat="1"/>
    <xf numFmtId="2" fontId="0" fillId="0" borderId="0" xfId="0" applyNumberFormat="1"/>
    <xf numFmtId="44" fontId="11" fillId="0" borderId="3" xfId="2" applyFont="1" applyFill="1" applyBorder="1"/>
    <xf numFmtId="2" fontId="0" fillId="2" borderId="0" xfId="0" applyNumberFormat="1" applyFill="1"/>
    <xf numFmtId="0" fontId="18" fillId="0" borderId="0" xfId="0" applyFont="1" applyAlignment="1">
      <alignment wrapText="1"/>
    </xf>
    <xf numFmtId="0" fontId="0" fillId="0" borderId="0" xfId="0" applyAlignment="1">
      <alignment wrapText="1"/>
    </xf>
    <xf numFmtId="0" fontId="18" fillId="2" borderId="0" xfId="0" applyFont="1" applyFill="1" applyAlignment="1">
      <alignment wrapText="1"/>
    </xf>
    <xf numFmtId="0" fontId="0" fillId="2" borderId="0" xfId="0" applyFill="1" applyAlignment="1">
      <alignment wrapText="1"/>
    </xf>
    <xf numFmtId="0" fontId="12" fillId="2" borderId="0" xfId="0" applyFont="1" applyFill="1" applyAlignment="1">
      <alignment horizontal="center"/>
    </xf>
    <xf numFmtId="0" fontId="9" fillId="2" borderId="0" xfId="0" applyFont="1" applyFill="1" applyAlignment="1">
      <alignment wrapText="1"/>
    </xf>
    <xf numFmtId="0" fontId="12" fillId="6" borderId="0" xfId="0" applyFont="1" applyFill="1" applyAlignment="1">
      <alignment horizontal="center"/>
    </xf>
    <xf numFmtId="0" fontId="12" fillId="2" borderId="2" xfId="0" applyFont="1" applyFill="1" applyBorder="1" applyAlignment="1">
      <alignment horizontal="center"/>
    </xf>
    <xf numFmtId="0" fontId="16" fillId="0" borderId="0" xfId="0" applyFont="1" applyAlignment="1">
      <alignment horizontal="center"/>
    </xf>
    <xf numFmtId="0" fontId="9" fillId="2" borderId="0" xfId="0" applyFont="1" applyFill="1" applyAlignment="1">
      <alignment horizontal="left" wrapText="1"/>
    </xf>
    <xf numFmtId="0" fontId="0" fillId="2" borderId="0" xfId="0" applyFill="1" applyAlignment="1">
      <alignment horizontal="left" wrapText="1"/>
    </xf>
    <xf numFmtId="0" fontId="16" fillId="10" borderId="0" xfId="0" applyFont="1" applyFill="1" applyAlignment="1">
      <alignment horizontal="center"/>
    </xf>
    <xf numFmtId="0" fontId="15" fillId="10" borderId="0" xfId="0" applyFont="1" applyFill="1" applyAlignment="1">
      <alignment horizontal="center"/>
    </xf>
    <xf numFmtId="0" fontId="0" fillId="0" borderId="0" xfId="0"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O11"/>
  <sheetViews>
    <sheetView tabSelected="1" topLeftCell="A2" workbookViewId="0">
      <selection activeCell="D4" sqref="D4"/>
    </sheetView>
  </sheetViews>
  <sheetFormatPr defaultRowHeight="14.5"/>
  <cols>
    <col min="1" max="1" width="2.81640625" customWidth="1"/>
  </cols>
  <sheetData>
    <row r="1" spans="2:15" ht="21">
      <c r="B1" s="71" t="s">
        <v>98</v>
      </c>
      <c r="C1" s="71"/>
      <c r="D1" s="71"/>
      <c r="E1" s="71"/>
    </row>
    <row r="2" spans="2:15" ht="21">
      <c r="B2" s="71" t="s">
        <v>99</v>
      </c>
      <c r="C2" s="71"/>
      <c r="D2" s="71"/>
      <c r="E2" s="71"/>
    </row>
    <row r="3" spans="2:15">
      <c r="B3" s="73" t="s">
        <v>133</v>
      </c>
    </row>
    <row r="4" spans="2:15">
      <c r="B4" s="72"/>
    </row>
    <row r="5" spans="2:15">
      <c r="B5" s="70" t="s">
        <v>97</v>
      </c>
    </row>
    <row r="6" spans="2:15" ht="66" customHeight="1">
      <c r="B6" s="111" t="s">
        <v>101</v>
      </c>
      <c r="C6" s="112"/>
      <c r="D6" s="112"/>
      <c r="E6" s="112"/>
      <c r="F6" s="112"/>
      <c r="G6" s="112"/>
      <c r="H6" s="112"/>
      <c r="I6" s="112"/>
      <c r="J6" s="112"/>
      <c r="K6" s="112"/>
      <c r="L6" s="112"/>
      <c r="M6" s="112"/>
      <c r="N6" s="112"/>
      <c r="O6" s="112"/>
    </row>
    <row r="7" spans="2:15" ht="120.75" customHeight="1">
      <c r="B7" s="111" t="s">
        <v>124</v>
      </c>
      <c r="C7" s="112"/>
      <c r="D7" s="112"/>
      <c r="E7" s="112"/>
      <c r="F7" s="112"/>
      <c r="G7" s="112"/>
      <c r="H7" s="112"/>
      <c r="I7" s="112"/>
      <c r="J7" s="112"/>
      <c r="K7" s="112"/>
      <c r="L7" s="112"/>
      <c r="M7" s="112"/>
      <c r="N7" s="112"/>
      <c r="O7" s="112"/>
    </row>
    <row r="8" spans="2:15" ht="66" customHeight="1">
      <c r="B8" s="113" t="s">
        <v>121</v>
      </c>
      <c r="C8" s="114"/>
      <c r="D8" s="114"/>
      <c r="E8" s="114"/>
      <c r="F8" s="114"/>
      <c r="G8" s="114"/>
      <c r="H8" s="114"/>
      <c r="I8" s="114"/>
      <c r="J8" s="114"/>
      <c r="K8" s="114"/>
      <c r="L8" s="114"/>
      <c r="M8" s="114"/>
      <c r="N8" s="114"/>
      <c r="O8" s="114"/>
    </row>
    <row r="9" spans="2:15" ht="36.75" customHeight="1">
      <c r="B9" s="111" t="s">
        <v>125</v>
      </c>
      <c r="C9" s="112"/>
      <c r="D9" s="112"/>
      <c r="E9" s="112"/>
      <c r="F9" s="112"/>
      <c r="G9" s="112"/>
      <c r="H9" s="112"/>
      <c r="I9" s="112"/>
      <c r="J9" s="112"/>
      <c r="K9" s="112"/>
      <c r="L9" s="112"/>
      <c r="M9" s="112"/>
      <c r="N9" s="112"/>
      <c r="O9" s="112"/>
    </row>
    <row r="10" spans="2:15" ht="85" customHeight="1">
      <c r="B10" s="111" t="s">
        <v>102</v>
      </c>
      <c r="C10" s="112"/>
      <c r="D10" s="112"/>
      <c r="E10" s="112"/>
      <c r="F10" s="112"/>
      <c r="G10" s="112"/>
      <c r="H10" s="112"/>
      <c r="I10" s="112"/>
      <c r="J10" s="112"/>
      <c r="K10" s="112"/>
      <c r="L10" s="112"/>
      <c r="M10" s="112"/>
      <c r="N10" s="112"/>
      <c r="O10" s="112"/>
    </row>
    <row r="11" spans="2:15" ht="111.75" customHeight="1">
      <c r="B11" s="111" t="s">
        <v>126</v>
      </c>
      <c r="C11" s="112"/>
      <c r="D11" s="112"/>
      <c r="E11" s="112"/>
      <c r="F11" s="112"/>
      <c r="G11" s="112"/>
      <c r="H11" s="112"/>
      <c r="I11" s="112"/>
      <c r="J11" s="112"/>
      <c r="K11" s="112"/>
      <c r="L11" s="112"/>
      <c r="M11" s="112"/>
      <c r="N11" s="112"/>
      <c r="O11" s="112"/>
    </row>
  </sheetData>
  <mergeCells count="6">
    <mergeCell ref="B11:O11"/>
    <mergeCell ref="B6:O6"/>
    <mergeCell ref="B10:O10"/>
    <mergeCell ref="B7:O7"/>
    <mergeCell ref="B8:O8"/>
    <mergeCell ref="B9:O9"/>
  </mergeCells>
  <pageMargins left="0.7" right="0.7" top="0.75" bottom="0.75" header="0.3" footer="0.3"/>
  <pageSetup scale="97" fitToHeight="2" orientation="landscape" r:id="rId1"/>
</worksheet>
</file>

<file path=xl/worksheets/sheet10.xml><?xml version="1.0" encoding="utf-8"?>
<worksheet xmlns="http://schemas.openxmlformats.org/spreadsheetml/2006/main" xmlns:r="http://schemas.openxmlformats.org/officeDocument/2006/relationships">
  <sheetPr>
    <tabColor rgb="FF92D050"/>
    <pageSetUpPr fitToPage="1"/>
  </sheetPr>
  <dimension ref="A1:F16"/>
  <sheetViews>
    <sheetView workbookViewId="0">
      <selection activeCell="G15" sqref="G15"/>
    </sheetView>
  </sheetViews>
  <sheetFormatPr defaultRowHeight="14.5"/>
  <cols>
    <col min="1" max="1" width="26" customWidth="1"/>
    <col min="2" max="2" width="1.81640625" customWidth="1"/>
    <col min="3" max="3" width="13.26953125" customWidth="1"/>
    <col min="4" max="4" width="12.81640625" customWidth="1"/>
    <col min="5" max="5" width="11.6328125" customWidth="1"/>
    <col min="6" max="6" width="11" customWidth="1"/>
    <col min="9" max="9" width="13.6328125" customWidth="1"/>
    <col min="10" max="10" width="7.26953125" customWidth="1"/>
  </cols>
  <sheetData>
    <row r="1" spans="1:6" ht="58.5" customHeight="1">
      <c r="A1" s="116" t="s">
        <v>106</v>
      </c>
      <c r="B1" s="116"/>
      <c r="C1" s="116"/>
      <c r="D1" s="116"/>
      <c r="E1" s="116"/>
      <c r="F1" s="13"/>
    </row>
    <row r="2" spans="1:6" ht="18.5">
      <c r="A2" s="77"/>
      <c r="B2" s="13"/>
      <c r="C2" s="13"/>
      <c r="D2" s="13"/>
      <c r="E2" s="13"/>
      <c r="F2" s="13"/>
    </row>
    <row r="3" spans="1:6" ht="16.5" customHeight="1">
      <c r="A3" s="12"/>
      <c r="B3" s="12"/>
      <c r="C3" s="115" t="s">
        <v>105</v>
      </c>
      <c r="D3" s="115"/>
      <c r="E3" s="115" t="s">
        <v>130</v>
      </c>
      <c r="F3" s="115"/>
    </row>
    <row r="4" spans="1:6" s="1" customFormat="1" ht="15.75" customHeight="1">
      <c r="A4" s="78"/>
      <c r="B4" s="78"/>
      <c r="C4" s="79">
        <v>41455</v>
      </c>
      <c r="D4" s="79">
        <v>41090</v>
      </c>
      <c r="E4" s="79">
        <v>41455</v>
      </c>
      <c r="F4" s="79">
        <v>41090</v>
      </c>
    </row>
    <row r="5" spans="1:6" s="1" customFormat="1" ht="13">
      <c r="A5" s="5" t="s">
        <v>104</v>
      </c>
      <c r="B5" s="4"/>
      <c r="C5" s="9">
        <f>'Adj. EBITDA qtrly'!C5</f>
        <v>1677168</v>
      </c>
      <c r="D5" s="9">
        <f>'Adj. EBITDA qtrly'!G5</f>
        <v>-2772605</v>
      </c>
      <c r="E5" s="9">
        <f>SUM('Adj. EBITDA qtrly'!C5:F5)</f>
        <v>854123</v>
      </c>
      <c r="F5" s="9">
        <f>SUM('Adj. EBITDA qtrly'!G5:J5)</f>
        <v>-5211238</v>
      </c>
    </row>
    <row r="6" spans="1:6" s="1" customFormat="1" ht="15" customHeight="1">
      <c r="A6" s="4" t="s">
        <v>8</v>
      </c>
      <c r="B6" s="4"/>
      <c r="C6" s="6">
        <f>'Adj. EBITDA qtrly'!C6</f>
        <v>-4212</v>
      </c>
      <c r="D6" s="6">
        <f>'Adj. EBITDA qtrly'!G6</f>
        <v>-26877</v>
      </c>
      <c r="E6" s="6">
        <f>SUM('Adj. EBITDA qtrly'!C6:F6)</f>
        <v>-57121</v>
      </c>
      <c r="F6" s="6">
        <f>SUM('Adj. EBITDA qtrly'!G6:J6)</f>
        <v>-72059</v>
      </c>
    </row>
    <row r="7" spans="1:6" s="1" customFormat="1" ht="15.75" customHeight="1">
      <c r="A7" s="4" t="s">
        <v>7</v>
      </c>
      <c r="B7" s="4"/>
      <c r="C7" s="6">
        <f>'Adj. EBITDA qtrly'!C7</f>
        <v>47804</v>
      </c>
      <c r="D7" s="6">
        <f>'Adj. EBITDA qtrly'!G7</f>
        <v>13237</v>
      </c>
      <c r="E7" s="6">
        <f>SUM('Adj. EBITDA qtrly'!C7:F7)</f>
        <v>157205</v>
      </c>
      <c r="F7" s="6">
        <f>SUM('Adj. EBITDA qtrly'!G7:J7)</f>
        <v>83993</v>
      </c>
    </row>
    <row r="8" spans="1:6" s="1" customFormat="1" ht="13">
      <c r="A8" s="4" t="s">
        <v>6</v>
      </c>
      <c r="B8" s="4"/>
      <c r="C8" s="6">
        <f>'Adj. EBITDA qtrly'!C8</f>
        <v>6911</v>
      </c>
      <c r="D8" s="6">
        <f>'Adj. EBITDA qtrly'!G8</f>
        <v>12599</v>
      </c>
      <c r="E8" s="6">
        <f>SUM('Adj. EBITDA qtrly'!C8:F8)</f>
        <v>27645</v>
      </c>
      <c r="F8" s="6">
        <f>SUM('Adj. EBITDA qtrly'!G8:J8)</f>
        <v>12599</v>
      </c>
    </row>
    <row r="9" spans="1:6" s="1" customFormat="1" ht="13.5" customHeight="1">
      <c r="A9" s="4" t="s">
        <v>5</v>
      </c>
      <c r="B9" s="4"/>
      <c r="C9" s="6">
        <f>'Adj. EBITDA qtrly'!C9</f>
        <v>1094978</v>
      </c>
      <c r="D9" s="6">
        <f>'Adj. EBITDA qtrly'!G9</f>
        <v>695609</v>
      </c>
      <c r="E9" s="6">
        <f>SUM('Adj. EBITDA qtrly'!C9:F9)</f>
        <v>3837174</v>
      </c>
      <c r="F9" s="6">
        <f>SUM('Adj. EBITDA qtrly'!G9:J9)</f>
        <v>2443054</v>
      </c>
    </row>
    <row r="10" spans="1:6" s="1" customFormat="1" ht="13">
      <c r="A10" s="4" t="s">
        <v>4</v>
      </c>
      <c r="B10" s="4"/>
      <c r="C10" s="6">
        <f>'Adj. EBITDA qtrly'!C10</f>
        <v>185600</v>
      </c>
      <c r="D10" s="6">
        <f>'Adj. EBITDA qtrly'!G10</f>
        <v>222100</v>
      </c>
      <c r="E10" s="6">
        <f>SUM('Adj. EBITDA qtrly'!C10:F10)</f>
        <v>742400</v>
      </c>
      <c r="F10" s="6">
        <f>SUM('Adj. EBITDA qtrly'!G10:J10)</f>
        <v>997900</v>
      </c>
    </row>
    <row r="11" spans="1:6" s="1" customFormat="1" ht="29.25" customHeight="1">
      <c r="A11" s="8" t="s">
        <v>3</v>
      </c>
      <c r="B11" s="4"/>
      <c r="C11" s="6">
        <f>'Adj. EBITDA qtrly'!C11</f>
        <v>-1517384</v>
      </c>
      <c r="D11" s="6">
        <f>'Adj. EBITDA qtrly'!G11</f>
        <v>169755</v>
      </c>
      <c r="E11" s="6">
        <f>SUM('Adj. EBITDA qtrly'!C11:F11)</f>
        <v>-267928</v>
      </c>
      <c r="F11" s="6">
        <f>SUM('Adj. EBITDA qtrly'!G11:J11)</f>
        <v>-1813687</v>
      </c>
    </row>
    <row r="12" spans="1:6" s="1" customFormat="1" ht="17.25" customHeight="1">
      <c r="A12" s="8" t="s">
        <v>2</v>
      </c>
      <c r="B12" s="4"/>
      <c r="C12" s="6">
        <f>'Adj. EBITDA qtrly'!C12</f>
        <v>133674</v>
      </c>
      <c r="D12" s="6">
        <f>'Adj. EBITDA qtrly'!G12</f>
        <v>271303</v>
      </c>
      <c r="E12" s="6">
        <f>SUM('Adj. EBITDA qtrly'!C12:F12)</f>
        <v>502907</v>
      </c>
      <c r="F12" s="6">
        <f>SUM('Adj. EBITDA qtrly'!G12:J12)</f>
        <v>782100</v>
      </c>
    </row>
    <row r="13" spans="1:6" s="1" customFormat="1" ht="13.5" thickBot="1">
      <c r="A13" s="5" t="s">
        <v>0</v>
      </c>
      <c r="B13" s="4"/>
      <c r="C13" s="3">
        <f>SUM(C5:C12)</f>
        <v>1624539</v>
      </c>
      <c r="D13" s="3">
        <f>SUM(D5:D12)</f>
        <v>-1414879</v>
      </c>
      <c r="E13" s="3">
        <f>SUM(E5:E12)</f>
        <v>5796405</v>
      </c>
      <c r="F13" s="3">
        <f>SUM(F5:F12)</f>
        <v>-2777338</v>
      </c>
    </row>
    <row r="14" spans="1:6" s="1" customFormat="1" ht="13.5" thickTop="1">
      <c r="A14" s="2"/>
      <c r="B14" s="2"/>
      <c r="C14" s="2"/>
      <c r="D14" s="2"/>
      <c r="E14" s="2"/>
      <c r="F14" s="2"/>
    </row>
    <row r="15" spans="1:6" ht="15" thickBot="1">
      <c r="A15" s="5" t="s">
        <v>39</v>
      </c>
      <c r="B15" s="99"/>
      <c r="C15" s="15">
        <f>'OperMrgn yryr'!C15</f>
        <v>9684842</v>
      </c>
      <c r="D15" s="15">
        <f>'OperMrgn yryr'!D15</f>
        <v>7902846</v>
      </c>
      <c r="E15" s="15">
        <f>SUM('OperMrgn qtrly'!C16:F16)</f>
        <v>35940244</v>
      </c>
      <c r="F15" s="15">
        <f>SUM('OperMrgn qtrly'!G16:J16)</f>
        <v>29017243</v>
      </c>
    </row>
    <row r="16" spans="1:6" ht="15" thickTop="1">
      <c r="A16" s="2"/>
      <c r="B16" s="2"/>
      <c r="C16" s="106">
        <f t="shared" ref="C16" si="0">C13/C15</f>
        <v>0.16774037201639427</v>
      </c>
      <c r="D16" s="106">
        <f t="shared" ref="D16" si="1">D13/D15</f>
        <v>-0.17903410999024907</v>
      </c>
      <c r="E16" s="106">
        <f>E13/E15</f>
        <v>0.16127895514565788</v>
      </c>
      <c r="F16" s="106">
        <f>F13/F15</f>
        <v>-9.5713366014820916E-2</v>
      </c>
    </row>
  </sheetData>
  <mergeCells count="3">
    <mergeCell ref="C3:D3"/>
    <mergeCell ref="A1:E1"/>
    <mergeCell ref="E3:F3"/>
  </mergeCells>
  <pageMargins left="0.7" right="0.7" top="0.75" bottom="0.75" header="0.3" footer="0.3"/>
  <pageSetup orientation="landscape" r:id="rId1"/>
  <ignoredErrors>
    <ignoredError sqref="E7:E10 E12 F7:F12" formulaRange="1"/>
  </ignoredErrors>
</worksheet>
</file>

<file path=xl/worksheets/sheet11.xml><?xml version="1.0" encoding="utf-8"?>
<worksheet xmlns="http://schemas.openxmlformats.org/spreadsheetml/2006/main" xmlns:r="http://schemas.openxmlformats.org/officeDocument/2006/relationships">
  <dimension ref="A1:H111"/>
  <sheetViews>
    <sheetView workbookViewId="0">
      <selection activeCell="A25" sqref="A25"/>
    </sheetView>
  </sheetViews>
  <sheetFormatPr defaultRowHeight="14.5"/>
  <cols>
    <col min="1" max="1" width="65.54296875" customWidth="1"/>
    <col min="2" max="2" width="3" customWidth="1"/>
    <col min="3" max="7" width="16.26953125" customWidth="1"/>
  </cols>
  <sheetData>
    <row r="1" spans="1:8">
      <c r="A1" s="66" t="s">
        <v>98</v>
      </c>
      <c r="B1" s="66"/>
    </row>
    <row r="2" spans="1:8">
      <c r="A2" s="66" t="s">
        <v>96</v>
      </c>
      <c r="B2" s="66"/>
    </row>
    <row r="3" spans="1:8">
      <c r="A3" s="76" t="s">
        <v>100</v>
      </c>
      <c r="B3" s="76"/>
    </row>
    <row r="4" spans="1:8">
      <c r="C4" s="122" t="s">
        <v>46</v>
      </c>
      <c r="D4" s="122"/>
      <c r="E4" s="122"/>
      <c r="F4" s="122"/>
      <c r="G4" s="122"/>
      <c r="H4" s="67"/>
    </row>
    <row r="5" spans="1:8">
      <c r="C5" s="119" t="s">
        <v>47</v>
      </c>
      <c r="D5" s="119"/>
      <c r="E5" s="119"/>
      <c r="F5" s="119"/>
      <c r="G5" s="67"/>
      <c r="H5" s="67"/>
    </row>
    <row r="6" spans="1:8">
      <c r="A6" s="66" t="s">
        <v>48</v>
      </c>
      <c r="B6" s="66"/>
      <c r="C6" s="67" t="s">
        <v>49</v>
      </c>
      <c r="D6" s="67" t="s">
        <v>50</v>
      </c>
      <c r="E6" s="67" t="s">
        <v>51</v>
      </c>
      <c r="F6" s="67" t="s">
        <v>52</v>
      </c>
      <c r="G6" s="67" t="s">
        <v>53</v>
      </c>
      <c r="H6" s="67"/>
    </row>
    <row r="8" spans="1:8">
      <c r="A8" t="s">
        <v>9</v>
      </c>
      <c r="C8" s="62">
        <v>-78954</v>
      </c>
      <c r="D8" s="62">
        <v>-1821061</v>
      </c>
      <c r="E8" s="62">
        <v>-538618</v>
      </c>
      <c r="F8" s="62">
        <v>-2772605</v>
      </c>
      <c r="G8" s="62">
        <v>-5211238</v>
      </c>
    </row>
    <row r="9" spans="1:8">
      <c r="A9" t="s">
        <v>54</v>
      </c>
      <c r="C9" s="63"/>
      <c r="D9" s="63"/>
      <c r="E9" s="63"/>
      <c r="F9" s="63"/>
      <c r="G9" s="63"/>
    </row>
    <row r="10" spans="1:8">
      <c r="A10" t="s">
        <v>55</v>
      </c>
      <c r="C10" s="63"/>
      <c r="D10" s="64"/>
      <c r="E10" s="64"/>
      <c r="F10" s="64"/>
      <c r="G10" s="64"/>
    </row>
    <row r="11" spans="1:8">
      <c r="A11" t="s">
        <v>56</v>
      </c>
      <c r="C11" s="65">
        <v>240453</v>
      </c>
      <c r="D11" s="65">
        <v>187044</v>
      </c>
      <c r="E11" s="65">
        <v>83300</v>
      </c>
      <c r="F11" s="65">
        <v>271303</v>
      </c>
      <c r="G11" s="65">
        <v>782100</v>
      </c>
    </row>
    <row r="12" spans="1:8">
      <c r="A12" t="s">
        <v>57</v>
      </c>
      <c r="C12" s="65">
        <v>0</v>
      </c>
      <c r="D12" s="65">
        <v>0</v>
      </c>
      <c r="E12" s="65">
        <v>0</v>
      </c>
      <c r="F12" s="65">
        <v>0</v>
      </c>
      <c r="G12" s="65">
        <v>0</v>
      </c>
    </row>
    <row r="13" spans="1:8">
      <c r="A13" t="s">
        <v>58</v>
      </c>
      <c r="C13" s="65">
        <v>-1736609</v>
      </c>
      <c r="D13" s="65">
        <v>-151759</v>
      </c>
      <c r="E13" s="65">
        <v>-95074</v>
      </c>
      <c r="F13" s="65">
        <v>169755</v>
      </c>
      <c r="G13" s="65">
        <v>-1813687</v>
      </c>
    </row>
    <row r="14" spans="1:8">
      <c r="A14" t="s">
        <v>59</v>
      </c>
      <c r="C14" s="65">
        <v>0</v>
      </c>
      <c r="D14" s="65">
        <v>-12003</v>
      </c>
      <c r="E14" s="65">
        <v>13844</v>
      </c>
      <c r="F14" s="65">
        <v>132509</v>
      </c>
      <c r="G14" s="65">
        <v>134350</v>
      </c>
    </row>
    <row r="15" spans="1:8">
      <c r="A15" t="s">
        <v>60</v>
      </c>
      <c r="C15" s="65">
        <v>563125</v>
      </c>
      <c r="D15" s="65">
        <v>552990</v>
      </c>
      <c r="E15" s="65">
        <v>631330</v>
      </c>
      <c r="F15" s="65">
        <v>695609</v>
      </c>
      <c r="G15" s="65">
        <v>2443054</v>
      </c>
    </row>
    <row r="16" spans="1:8">
      <c r="A16" t="s">
        <v>61</v>
      </c>
      <c r="C16" s="65">
        <v>258600</v>
      </c>
      <c r="D16" s="65">
        <v>258600</v>
      </c>
      <c r="E16" s="65">
        <v>258600</v>
      </c>
      <c r="F16" s="65">
        <v>222100</v>
      </c>
      <c r="G16" s="65">
        <v>997900</v>
      </c>
    </row>
    <row r="17" spans="1:7">
      <c r="A17" t="s">
        <v>30</v>
      </c>
      <c r="C17" s="65">
        <v>0</v>
      </c>
      <c r="D17" s="65">
        <v>0</v>
      </c>
      <c r="E17" s="65">
        <v>0</v>
      </c>
      <c r="F17" s="65">
        <v>0</v>
      </c>
      <c r="G17" s="65">
        <v>0</v>
      </c>
    </row>
    <row r="18" spans="1:7">
      <c r="A18" t="s">
        <v>62</v>
      </c>
      <c r="C18" s="65">
        <v>-22056</v>
      </c>
      <c r="D18" s="65">
        <v>-19512</v>
      </c>
      <c r="E18" s="65">
        <v>-3788</v>
      </c>
      <c r="F18" s="65">
        <v>-2914</v>
      </c>
      <c r="G18" s="65">
        <v>-48270</v>
      </c>
    </row>
    <row r="19" spans="1:7">
      <c r="A19" t="s">
        <v>63</v>
      </c>
      <c r="C19" s="65">
        <v>0</v>
      </c>
      <c r="D19" s="65">
        <v>0</v>
      </c>
      <c r="E19" s="65">
        <v>0</v>
      </c>
      <c r="F19" s="65">
        <v>12599</v>
      </c>
      <c r="G19" s="65">
        <v>12599</v>
      </c>
    </row>
    <row r="20" spans="1:7">
      <c r="A20" t="s">
        <v>64</v>
      </c>
      <c r="C20" s="65"/>
      <c r="D20" s="65"/>
      <c r="E20" s="65"/>
      <c r="F20" s="65"/>
      <c r="G20" s="65"/>
    </row>
    <row r="21" spans="1:7">
      <c r="A21" t="s">
        <v>65</v>
      </c>
      <c r="C21" s="65">
        <v>187501</v>
      </c>
      <c r="D21" s="65">
        <v>-154981</v>
      </c>
      <c r="E21" s="65">
        <v>-484290</v>
      </c>
      <c r="F21" s="65">
        <v>-307182</v>
      </c>
      <c r="G21" s="65">
        <v>-758952</v>
      </c>
    </row>
    <row r="22" spans="1:7">
      <c r="A22" t="s">
        <v>66</v>
      </c>
      <c r="C22" s="65">
        <v>-43791</v>
      </c>
      <c r="D22" s="65">
        <v>9679</v>
      </c>
      <c r="E22" s="65">
        <v>-44103</v>
      </c>
      <c r="F22" s="65">
        <v>16755</v>
      </c>
      <c r="G22" s="65">
        <v>-61460</v>
      </c>
    </row>
    <row r="23" spans="1:7">
      <c r="A23" s="74" t="s">
        <v>67</v>
      </c>
      <c r="B23" s="74"/>
      <c r="C23" s="65">
        <v>160798</v>
      </c>
      <c r="D23" s="65">
        <v>-832088</v>
      </c>
      <c r="E23" s="65">
        <v>108302</v>
      </c>
      <c r="F23" s="65">
        <v>721572</v>
      </c>
      <c r="G23" s="65">
        <v>158584</v>
      </c>
    </row>
    <row r="24" spans="1:7">
      <c r="A24" t="s">
        <v>68</v>
      </c>
      <c r="C24" s="65">
        <v>48339</v>
      </c>
      <c r="D24" s="65">
        <v>-186210</v>
      </c>
      <c r="E24" s="65">
        <v>-153012</v>
      </c>
      <c r="F24" s="65">
        <v>722159</v>
      </c>
      <c r="G24" s="65">
        <v>431276</v>
      </c>
    </row>
    <row r="25" spans="1:7">
      <c r="A25" t="s">
        <v>69</v>
      </c>
      <c r="C25" s="65">
        <v>-656552</v>
      </c>
      <c r="D25" s="65">
        <v>-665490</v>
      </c>
      <c r="E25" s="65">
        <v>291263</v>
      </c>
      <c r="F25" s="65">
        <v>1528861</v>
      </c>
      <c r="G25" s="65">
        <v>498082</v>
      </c>
    </row>
    <row r="26" spans="1:7">
      <c r="A26" t="s">
        <v>70</v>
      </c>
      <c r="C26" s="65">
        <v>582357</v>
      </c>
      <c r="D26" s="65">
        <v>307694</v>
      </c>
      <c r="E26" s="65">
        <v>164417</v>
      </c>
      <c r="F26" s="65">
        <v>1459430</v>
      </c>
      <c r="G26" s="65">
        <v>2513898</v>
      </c>
    </row>
    <row r="27" spans="1:7">
      <c r="A27" t="s">
        <v>71</v>
      </c>
      <c r="C27" s="65"/>
      <c r="D27" s="65"/>
      <c r="E27" s="65"/>
      <c r="F27" s="65"/>
      <c r="G27" s="65"/>
    </row>
    <row r="28" spans="1:7">
      <c r="A28" t="s">
        <v>72</v>
      </c>
      <c r="C28" s="65">
        <v>-496789</v>
      </c>
      <c r="D28" s="65">
        <v>-2527097</v>
      </c>
      <c r="E28" s="65">
        <v>232171</v>
      </c>
      <c r="F28" s="65">
        <v>2869951</v>
      </c>
      <c r="G28" s="65">
        <v>78236</v>
      </c>
    </row>
    <row r="29" spans="1:7">
      <c r="A29" t="s">
        <v>71</v>
      </c>
      <c r="C29" s="122"/>
      <c r="D29" s="122"/>
      <c r="E29" s="122"/>
      <c r="F29" s="122"/>
      <c r="G29" s="122"/>
    </row>
    <row r="30" spans="1:7">
      <c r="A30" t="s">
        <v>73</v>
      </c>
      <c r="C30" s="65"/>
      <c r="D30" s="65"/>
      <c r="E30" s="65"/>
      <c r="F30" s="65"/>
      <c r="G30" s="65"/>
    </row>
    <row r="31" spans="1:7">
      <c r="A31" t="s">
        <v>74</v>
      </c>
      <c r="C31" s="65">
        <v>-60348</v>
      </c>
      <c r="D31" s="65">
        <v>-313597</v>
      </c>
      <c r="E31" s="65">
        <v>-30158</v>
      </c>
      <c r="F31" s="65">
        <v>-74041</v>
      </c>
      <c r="G31" s="65">
        <v>-478144</v>
      </c>
    </row>
    <row r="32" spans="1:7">
      <c r="A32" s="74" t="s">
        <v>75</v>
      </c>
      <c r="B32" s="74"/>
      <c r="C32" s="65">
        <v>-1234608</v>
      </c>
      <c r="D32" s="65">
        <v>-821386</v>
      </c>
      <c r="E32" s="65">
        <v>-1226518</v>
      </c>
      <c r="F32" s="65">
        <v>-2472158</v>
      </c>
      <c r="G32" s="65">
        <v>-5754670</v>
      </c>
    </row>
    <row r="33" spans="1:7">
      <c r="A33" t="s">
        <v>71</v>
      </c>
      <c r="C33" s="65"/>
      <c r="D33" s="65"/>
      <c r="E33" s="65"/>
      <c r="F33" s="65"/>
      <c r="G33" s="65"/>
    </row>
    <row r="34" spans="1:7">
      <c r="A34" t="s">
        <v>76</v>
      </c>
      <c r="C34" s="65">
        <v>-1294956</v>
      </c>
      <c r="D34" s="65">
        <v>-1134983</v>
      </c>
      <c r="E34" s="65">
        <v>-1256676</v>
      </c>
      <c r="F34" s="65">
        <v>-2546199</v>
      </c>
      <c r="G34" s="65">
        <v>-6232814</v>
      </c>
    </row>
    <row r="35" spans="1:7">
      <c r="A35" t="s">
        <v>71</v>
      </c>
      <c r="C35" s="65"/>
      <c r="D35" s="65"/>
      <c r="E35" s="65"/>
      <c r="F35" s="65"/>
      <c r="G35" s="65"/>
    </row>
    <row r="36" spans="1:7">
      <c r="A36" t="s">
        <v>77</v>
      </c>
      <c r="C36" s="65"/>
      <c r="D36" s="65"/>
      <c r="E36" s="65"/>
      <c r="F36" s="65"/>
      <c r="G36" s="65"/>
    </row>
    <row r="37" spans="1:7">
      <c r="C37" s="65"/>
      <c r="D37" s="65"/>
      <c r="E37" s="65"/>
      <c r="F37" s="65"/>
      <c r="G37" s="65"/>
    </row>
    <row r="38" spans="1:7">
      <c r="A38" t="s">
        <v>78</v>
      </c>
      <c r="C38" s="65">
        <v>10010</v>
      </c>
      <c r="D38" s="65">
        <v>-12041</v>
      </c>
      <c r="E38" s="65">
        <v>0</v>
      </c>
      <c r="F38" s="65">
        <v>-39340</v>
      </c>
      <c r="G38" s="65">
        <v>-41371</v>
      </c>
    </row>
    <row r="39" spans="1:7">
      <c r="A39" t="s">
        <v>79</v>
      </c>
      <c r="C39" s="65">
        <v>-109839</v>
      </c>
      <c r="D39" s="65">
        <v>-95435</v>
      </c>
      <c r="E39" s="65">
        <v>-111841</v>
      </c>
      <c r="F39" s="65">
        <v>-51802</v>
      </c>
      <c r="G39" s="65">
        <v>-368917</v>
      </c>
    </row>
    <row r="40" spans="1:7">
      <c r="A40" t="s">
        <v>71</v>
      </c>
      <c r="C40" s="65"/>
      <c r="D40" s="65"/>
      <c r="E40" s="65"/>
      <c r="F40" s="65"/>
      <c r="G40" s="65"/>
    </row>
    <row r="41" spans="1:7">
      <c r="A41" t="s">
        <v>80</v>
      </c>
      <c r="C41" s="65">
        <v>-99829</v>
      </c>
      <c r="D41" s="65">
        <v>-107476</v>
      </c>
      <c r="E41" s="65">
        <v>-111841</v>
      </c>
      <c r="F41" s="65">
        <v>-91142</v>
      </c>
      <c r="G41" s="65">
        <v>-410288</v>
      </c>
    </row>
    <row r="42" spans="1:7">
      <c r="A42" t="s">
        <v>71</v>
      </c>
      <c r="C42" s="65"/>
      <c r="D42" s="65"/>
      <c r="E42" s="65"/>
      <c r="F42" s="65"/>
      <c r="G42" s="65"/>
    </row>
    <row r="43" spans="1:7">
      <c r="A43" t="s">
        <v>81</v>
      </c>
      <c r="C43" s="65">
        <v>-1891574</v>
      </c>
      <c r="D43" s="65">
        <v>-3769556</v>
      </c>
      <c r="E43" s="65">
        <v>-1136346</v>
      </c>
      <c r="F43" s="65">
        <v>232610</v>
      </c>
      <c r="G43" s="65">
        <v>-6564866</v>
      </c>
    </row>
    <row r="44" spans="1:7">
      <c r="A44" t="s">
        <v>82</v>
      </c>
      <c r="C44" s="65">
        <v>12991511</v>
      </c>
      <c r="D44" s="65">
        <v>11099937</v>
      </c>
      <c r="E44" s="65">
        <v>7330381</v>
      </c>
      <c r="F44" s="65">
        <v>6194035</v>
      </c>
      <c r="G44" s="65">
        <v>12991511</v>
      </c>
    </row>
    <row r="45" spans="1:7">
      <c r="A45" t="s">
        <v>83</v>
      </c>
      <c r="C45" s="62">
        <v>11099937</v>
      </c>
      <c r="D45" s="62">
        <v>7330381</v>
      </c>
      <c r="E45" s="62">
        <v>6194035</v>
      </c>
      <c r="F45" s="62">
        <v>6426645</v>
      </c>
      <c r="G45" s="62">
        <v>6426645</v>
      </c>
    </row>
    <row r="46" spans="1:7">
      <c r="A46" t="s">
        <v>71</v>
      </c>
      <c r="C46" s="62"/>
      <c r="D46" s="62"/>
      <c r="E46" s="62"/>
      <c r="F46" s="62"/>
      <c r="G46" s="62"/>
    </row>
    <row r="47" spans="1:7">
      <c r="A47" s="66" t="s">
        <v>84</v>
      </c>
      <c r="B47" s="66"/>
      <c r="C47" s="62"/>
      <c r="D47" s="62"/>
      <c r="E47" s="62"/>
      <c r="F47" s="62"/>
      <c r="G47" s="62"/>
    </row>
    <row r="48" spans="1:7">
      <c r="A48" t="s">
        <v>85</v>
      </c>
      <c r="C48" s="62">
        <v>11708</v>
      </c>
      <c r="D48" s="62">
        <v>5092</v>
      </c>
      <c r="E48" s="62">
        <v>11619</v>
      </c>
      <c r="F48" s="62">
        <v>10472</v>
      </c>
      <c r="G48" s="62">
        <v>38891</v>
      </c>
    </row>
    <row r="49" spans="1:7">
      <c r="A49" t="s">
        <v>86</v>
      </c>
      <c r="C49" s="62">
        <v>495955</v>
      </c>
      <c r="D49" s="62">
        <v>0</v>
      </c>
      <c r="E49" s="62">
        <v>0</v>
      </c>
      <c r="F49" s="62">
        <v>0</v>
      </c>
      <c r="G49" s="62">
        <v>495955</v>
      </c>
    </row>
    <row r="50" spans="1:7">
      <c r="A50" t="s">
        <v>87</v>
      </c>
      <c r="C50" s="62">
        <v>0</v>
      </c>
      <c r="D50" s="62">
        <v>0</v>
      </c>
      <c r="E50" s="62">
        <v>40871</v>
      </c>
      <c r="F50" s="62">
        <v>212097</v>
      </c>
      <c r="G50" s="62">
        <v>252968</v>
      </c>
    </row>
    <row r="51" spans="1:7">
      <c r="A51" t="s">
        <v>88</v>
      </c>
      <c r="C51" s="62">
        <v>90372</v>
      </c>
      <c r="D51" s="62">
        <v>0</v>
      </c>
      <c r="E51" s="62">
        <v>4891</v>
      </c>
      <c r="F51" s="62">
        <v>0</v>
      </c>
      <c r="G51" s="62">
        <v>95263</v>
      </c>
    </row>
    <row r="52" spans="1:7">
      <c r="A52" t="s">
        <v>89</v>
      </c>
      <c r="C52" s="62">
        <v>20407</v>
      </c>
      <c r="D52" s="62">
        <v>34231</v>
      </c>
      <c r="E52" s="62">
        <v>0</v>
      </c>
      <c r="F52" s="62">
        <v>597455</v>
      </c>
      <c r="G52" s="62">
        <v>652093</v>
      </c>
    </row>
    <row r="53" spans="1:7">
      <c r="A53" t="s">
        <v>90</v>
      </c>
      <c r="C53" s="62">
        <v>0</v>
      </c>
      <c r="D53" s="62">
        <v>0</v>
      </c>
      <c r="E53" s="62">
        <v>0</v>
      </c>
      <c r="F53" s="62">
        <v>0</v>
      </c>
      <c r="G53" s="62">
        <v>0</v>
      </c>
    </row>
    <row r="54" spans="1:7">
      <c r="A54" t="s">
        <v>91</v>
      </c>
      <c r="C54" s="62">
        <v>0</v>
      </c>
      <c r="D54" s="62">
        <v>0</v>
      </c>
      <c r="E54" s="62">
        <v>0</v>
      </c>
      <c r="F54" s="62">
        <v>0</v>
      </c>
      <c r="G54" s="62">
        <v>0</v>
      </c>
    </row>
    <row r="55" spans="1:7">
      <c r="A55" t="s">
        <v>92</v>
      </c>
      <c r="C55" s="62">
        <v>0</v>
      </c>
      <c r="D55" s="62">
        <v>0</v>
      </c>
      <c r="E55" s="62">
        <v>0</v>
      </c>
      <c r="F55" s="62">
        <v>0</v>
      </c>
      <c r="G55" s="62">
        <v>0</v>
      </c>
    </row>
    <row r="56" spans="1:7">
      <c r="C56" s="62"/>
      <c r="D56" s="62"/>
      <c r="E56" s="62"/>
      <c r="F56" s="62"/>
      <c r="G56" s="63"/>
    </row>
    <row r="57" spans="1:7">
      <c r="A57" s="68"/>
      <c r="B57" s="68"/>
      <c r="C57" s="69"/>
      <c r="D57" s="69"/>
      <c r="E57" s="69"/>
      <c r="F57" s="69"/>
      <c r="G57" s="69"/>
    </row>
    <row r="58" spans="1:7">
      <c r="C58" s="62"/>
      <c r="D58" s="62"/>
      <c r="E58" s="62"/>
      <c r="F58" s="62"/>
      <c r="G58" s="62"/>
    </row>
    <row r="59" spans="1:7">
      <c r="C59" s="62"/>
      <c r="D59" s="62"/>
      <c r="E59" s="62"/>
      <c r="F59" s="62"/>
      <c r="G59" s="62"/>
    </row>
    <row r="60" spans="1:7">
      <c r="C60" s="123" t="s">
        <v>93</v>
      </c>
      <c r="D60" s="123"/>
      <c r="E60" s="123"/>
      <c r="F60" s="123"/>
      <c r="G60" s="123"/>
    </row>
    <row r="61" spans="1:7">
      <c r="C61" s="124" t="s">
        <v>47</v>
      </c>
      <c r="D61" s="124"/>
      <c r="E61" s="124"/>
      <c r="F61" s="124"/>
    </row>
    <row r="62" spans="1:7">
      <c r="A62" s="66" t="s">
        <v>94</v>
      </c>
      <c r="B62" s="66"/>
      <c r="C62" t="s">
        <v>49</v>
      </c>
      <c r="D62" t="s">
        <v>50</v>
      </c>
      <c r="E62" t="s">
        <v>51</v>
      </c>
      <c r="F62" t="s">
        <v>52</v>
      </c>
      <c r="G62" t="s">
        <v>53</v>
      </c>
    </row>
    <row r="64" spans="1:7">
      <c r="A64" t="s">
        <v>9</v>
      </c>
      <c r="C64" s="62">
        <v>-1886614</v>
      </c>
      <c r="D64" s="62">
        <v>-133131</v>
      </c>
      <c r="E64" s="62">
        <v>-2514268</v>
      </c>
      <c r="F64" s="62">
        <v>-1923054</v>
      </c>
      <c r="G64" s="62">
        <v>-6457067</v>
      </c>
    </row>
    <row r="65" spans="1:7">
      <c r="A65" t="s">
        <v>54</v>
      </c>
      <c r="C65" s="63"/>
      <c r="D65" s="63"/>
      <c r="E65" s="63"/>
      <c r="F65" s="63"/>
      <c r="G65" s="63"/>
    </row>
    <row r="66" spans="1:7">
      <c r="A66" t="s">
        <v>55</v>
      </c>
      <c r="C66" s="63"/>
      <c r="D66" s="64"/>
      <c r="E66" s="64"/>
      <c r="F66" s="64"/>
      <c r="G66" s="64"/>
    </row>
    <row r="67" spans="1:7">
      <c r="A67" t="s">
        <v>56</v>
      </c>
      <c r="C67" s="65">
        <v>8103</v>
      </c>
      <c r="D67" s="65">
        <v>699</v>
      </c>
      <c r="E67" s="65">
        <v>288</v>
      </c>
      <c r="F67" s="65">
        <v>293381</v>
      </c>
      <c r="G67" s="65">
        <v>302471</v>
      </c>
    </row>
    <row r="68" spans="1:7">
      <c r="A68" t="s">
        <v>57</v>
      </c>
      <c r="C68" s="65">
        <v>61303</v>
      </c>
      <c r="D68" s="65">
        <v>-6908</v>
      </c>
      <c r="E68" s="65">
        <v>0</v>
      </c>
      <c r="F68" s="65">
        <v>0</v>
      </c>
      <c r="G68" s="65">
        <v>54395</v>
      </c>
    </row>
    <row r="69" spans="1:7">
      <c r="A69" t="s">
        <v>58</v>
      </c>
      <c r="C69" s="65">
        <v>0</v>
      </c>
      <c r="D69" s="65">
        <v>0</v>
      </c>
      <c r="E69" s="65">
        <v>850740</v>
      </c>
      <c r="F69" s="65">
        <v>-35609</v>
      </c>
      <c r="G69" s="65">
        <v>815131</v>
      </c>
    </row>
    <row r="70" spans="1:7">
      <c r="A70" t="s">
        <v>59</v>
      </c>
      <c r="C70" s="65">
        <v>10380</v>
      </c>
      <c r="D70" s="65">
        <v>0</v>
      </c>
      <c r="E70" s="65">
        <v>0</v>
      </c>
      <c r="F70" s="65">
        <v>106448</v>
      </c>
      <c r="G70" s="65">
        <v>116828</v>
      </c>
    </row>
    <row r="71" spans="1:7">
      <c r="A71" t="s">
        <v>60</v>
      </c>
      <c r="C71" s="65">
        <v>266306</v>
      </c>
      <c r="D71" s="65">
        <v>338358</v>
      </c>
      <c r="E71" s="65">
        <v>468611</v>
      </c>
      <c r="F71" s="65">
        <v>480703</v>
      </c>
      <c r="G71" s="65">
        <v>1553978</v>
      </c>
    </row>
    <row r="72" spans="1:7">
      <c r="A72" t="s">
        <v>61</v>
      </c>
      <c r="C72" s="65">
        <v>258600</v>
      </c>
      <c r="D72" s="65">
        <v>258600</v>
      </c>
      <c r="E72" s="65">
        <v>258600</v>
      </c>
      <c r="F72" s="65">
        <v>258600</v>
      </c>
      <c r="G72" s="65">
        <v>1034400</v>
      </c>
    </row>
    <row r="73" spans="1:7">
      <c r="A73" t="s">
        <v>30</v>
      </c>
      <c r="C73" s="65">
        <v>0</v>
      </c>
      <c r="D73" s="65">
        <v>0</v>
      </c>
      <c r="E73" s="65">
        <v>0</v>
      </c>
      <c r="F73" s="65">
        <v>581900</v>
      </c>
      <c r="G73" s="65">
        <v>581900</v>
      </c>
    </row>
    <row r="74" spans="1:7">
      <c r="A74" t="s">
        <v>62</v>
      </c>
      <c r="C74" s="65">
        <v>8316</v>
      </c>
      <c r="D74" s="65">
        <v>17412</v>
      </c>
      <c r="E74" s="65">
        <v>-23176</v>
      </c>
      <c r="F74" s="65">
        <v>89473</v>
      </c>
      <c r="G74" s="65">
        <v>92025</v>
      </c>
    </row>
    <row r="75" spans="1:7">
      <c r="A75" t="s">
        <v>63</v>
      </c>
      <c r="C75" s="65">
        <v>0</v>
      </c>
      <c r="D75" s="65">
        <v>0</v>
      </c>
      <c r="E75" s="65">
        <v>0</v>
      </c>
      <c r="F75" s="65">
        <v>0</v>
      </c>
      <c r="G75" s="65">
        <v>0</v>
      </c>
    </row>
    <row r="76" spans="1:7">
      <c r="A76" t="s">
        <v>64</v>
      </c>
      <c r="C76" s="65"/>
      <c r="D76" s="65"/>
      <c r="E76" s="65"/>
      <c r="F76" s="65"/>
      <c r="G76" s="65"/>
    </row>
    <row r="77" spans="1:7">
      <c r="A77" t="s">
        <v>65</v>
      </c>
      <c r="C77" s="65">
        <v>143576</v>
      </c>
      <c r="D77" s="65">
        <v>618172</v>
      </c>
      <c r="E77" s="65">
        <v>-305422</v>
      </c>
      <c r="F77" s="65">
        <v>-134649</v>
      </c>
      <c r="G77" s="65">
        <v>321677</v>
      </c>
    </row>
    <row r="78" spans="1:7">
      <c r="A78" t="s">
        <v>66</v>
      </c>
      <c r="C78" s="65">
        <v>111824</v>
      </c>
      <c r="D78" s="65">
        <v>-15683</v>
      </c>
      <c r="E78" s="65">
        <v>72131</v>
      </c>
      <c r="F78" s="65">
        <v>-67866</v>
      </c>
      <c r="G78" s="65">
        <v>100406</v>
      </c>
    </row>
    <row r="79" spans="1:7">
      <c r="A79" s="75" t="s">
        <v>67</v>
      </c>
      <c r="B79" s="75"/>
      <c r="C79" s="65">
        <v>-468191</v>
      </c>
      <c r="D79" s="65">
        <v>1750561</v>
      </c>
      <c r="E79" s="65">
        <v>-242720</v>
      </c>
      <c r="F79" s="65">
        <v>-1076011</v>
      </c>
      <c r="G79" s="65">
        <v>-36361</v>
      </c>
    </row>
    <row r="80" spans="1:7">
      <c r="A80" t="s">
        <v>68</v>
      </c>
      <c r="C80" s="65">
        <v>132920</v>
      </c>
      <c r="D80" s="65">
        <v>314715</v>
      </c>
      <c r="E80" s="65">
        <v>-91027</v>
      </c>
      <c r="F80" s="65">
        <v>-240852</v>
      </c>
      <c r="G80" s="65">
        <v>115756</v>
      </c>
    </row>
    <row r="81" spans="1:7">
      <c r="A81" t="s">
        <v>69</v>
      </c>
      <c r="C81" s="65">
        <v>-19818</v>
      </c>
      <c r="D81" s="65">
        <v>217379</v>
      </c>
      <c r="E81" s="65">
        <v>252301</v>
      </c>
      <c r="F81" s="65">
        <v>617769</v>
      </c>
      <c r="G81" s="65">
        <v>1067631</v>
      </c>
    </row>
    <row r="82" spans="1:7">
      <c r="A82" t="s">
        <v>70</v>
      </c>
      <c r="C82" s="65">
        <v>-67895</v>
      </c>
      <c r="D82" s="65">
        <v>-263306</v>
      </c>
      <c r="E82" s="65">
        <v>-229793</v>
      </c>
      <c r="F82" s="65">
        <v>-10403</v>
      </c>
      <c r="G82" s="65">
        <v>-571397</v>
      </c>
    </row>
    <row r="83" spans="1:7">
      <c r="A83" t="s">
        <v>71</v>
      </c>
      <c r="C83" s="65"/>
      <c r="D83" s="65"/>
      <c r="E83" s="65"/>
      <c r="F83" s="65"/>
      <c r="G83" s="65"/>
    </row>
    <row r="84" spans="1:7">
      <c r="A84" t="s">
        <v>72</v>
      </c>
      <c r="C84" s="65">
        <v>-1441190</v>
      </c>
      <c r="D84" s="65">
        <v>3096868</v>
      </c>
      <c r="E84" s="65">
        <v>-1503735</v>
      </c>
      <c r="F84" s="65">
        <v>-1060170</v>
      </c>
      <c r="G84" s="65">
        <v>-908227</v>
      </c>
    </row>
    <row r="85" spans="1:7">
      <c r="A85" t="s">
        <v>71</v>
      </c>
      <c r="C85" s="65"/>
      <c r="D85" s="65"/>
      <c r="E85" s="65"/>
      <c r="F85" s="65"/>
      <c r="G85" s="65"/>
    </row>
    <row r="86" spans="1:7">
      <c r="A86" t="s">
        <v>73</v>
      </c>
      <c r="C86" s="65"/>
      <c r="D86" s="65"/>
      <c r="E86" s="65"/>
      <c r="F86" s="65"/>
      <c r="G86" s="65"/>
    </row>
    <row r="87" spans="1:7">
      <c r="A87" t="s">
        <v>74</v>
      </c>
      <c r="C87" s="65">
        <v>-89999</v>
      </c>
      <c r="D87" s="65">
        <v>-123746</v>
      </c>
      <c r="E87" s="65">
        <v>-27066</v>
      </c>
      <c r="F87" s="65">
        <v>-50579</v>
      </c>
      <c r="G87" s="65">
        <v>-291390</v>
      </c>
    </row>
    <row r="88" spans="1:7">
      <c r="A88" s="75" t="s">
        <v>75</v>
      </c>
      <c r="B88" s="75"/>
      <c r="C88" s="65">
        <v>-493587</v>
      </c>
      <c r="D88" s="65">
        <v>-3330385</v>
      </c>
      <c r="E88" s="65">
        <v>44095</v>
      </c>
      <c r="F88" s="65">
        <v>-483425</v>
      </c>
      <c r="G88" s="65">
        <v>-4263302</v>
      </c>
    </row>
    <row r="89" spans="1:7">
      <c r="A89" t="s">
        <v>71</v>
      </c>
      <c r="C89" s="65"/>
      <c r="D89" s="65"/>
      <c r="E89" s="65"/>
      <c r="F89" s="65"/>
      <c r="G89" s="65"/>
    </row>
    <row r="90" spans="1:7">
      <c r="A90" t="s">
        <v>95</v>
      </c>
      <c r="C90" s="65">
        <v>-583586</v>
      </c>
      <c r="D90" s="65">
        <v>-3454131</v>
      </c>
      <c r="E90" s="65">
        <v>17029</v>
      </c>
      <c r="F90" s="65">
        <v>-534004</v>
      </c>
      <c r="G90" s="65">
        <v>-4554692</v>
      </c>
    </row>
    <row r="91" spans="1:7">
      <c r="A91" t="s">
        <v>71</v>
      </c>
      <c r="C91" s="65"/>
      <c r="D91" s="65"/>
      <c r="E91" s="65"/>
      <c r="F91" s="65"/>
      <c r="G91" s="65"/>
    </row>
    <row r="92" spans="1:7">
      <c r="A92" t="s">
        <v>77</v>
      </c>
      <c r="C92" s="65"/>
      <c r="D92" s="65"/>
      <c r="E92" s="65"/>
      <c r="F92" s="65"/>
      <c r="G92" s="65"/>
    </row>
    <row r="93" spans="1:7">
      <c r="C93" s="65"/>
      <c r="D93" s="65"/>
      <c r="E93" s="65"/>
      <c r="F93" s="65"/>
      <c r="G93" s="65"/>
    </row>
    <row r="94" spans="1:7">
      <c r="A94" t="s">
        <v>78</v>
      </c>
      <c r="C94" s="65">
        <v>8085</v>
      </c>
      <c r="D94" s="65">
        <v>-2261</v>
      </c>
      <c r="E94" s="65">
        <v>9909766</v>
      </c>
      <c r="F94" s="65">
        <v>1371921</v>
      </c>
      <c r="G94" s="65">
        <v>11287511</v>
      </c>
    </row>
    <row r="95" spans="1:7">
      <c r="A95" t="s">
        <v>79</v>
      </c>
      <c r="C95" s="65">
        <v>-120252</v>
      </c>
      <c r="D95" s="65">
        <v>-111861</v>
      </c>
      <c r="E95" s="65">
        <v>-127179</v>
      </c>
      <c r="F95" s="65">
        <v>-78113</v>
      </c>
      <c r="G95" s="65">
        <v>-437405</v>
      </c>
    </row>
    <row r="96" spans="1:7">
      <c r="A96" t="s">
        <v>71</v>
      </c>
      <c r="C96" s="65"/>
      <c r="D96" s="65"/>
      <c r="E96" s="65"/>
      <c r="F96" s="65"/>
      <c r="G96" s="65"/>
    </row>
    <row r="97" spans="1:7">
      <c r="A97" t="s">
        <v>80</v>
      </c>
      <c r="C97" s="65">
        <v>-112167</v>
      </c>
      <c r="D97" s="65">
        <v>-114122</v>
      </c>
      <c r="E97" s="65">
        <v>9782587</v>
      </c>
      <c r="F97" s="65">
        <v>1293808</v>
      </c>
      <c r="G97" s="65">
        <v>10850106</v>
      </c>
    </row>
    <row r="98" spans="1:7">
      <c r="A98" t="s">
        <v>71</v>
      </c>
      <c r="C98" s="65"/>
      <c r="D98" s="65"/>
      <c r="E98" s="65"/>
      <c r="F98" s="65"/>
      <c r="G98" s="65"/>
    </row>
    <row r="99" spans="1:7">
      <c r="A99" t="s">
        <v>81</v>
      </c>
      <c r="C99" s="65">
        <v>-2136943</v>
      </c>
      <c r="D99" s="65">
        <v>-471385</v>
      </c>
      <c r="E99" s="65">
        <v>8295881</v>
      </c>
      <c r="F99" s="65">
        <v>-300366</v>
      </c>
      <c r="G99" s="65">
        <v>5387187</v>
      </c>
    </row>
    <row r="100" spans="1:7">
      <c r="A100" t="s">
        <v>82</v>
      </c>
      <c r="C100" s="65">
        <v>7604324</v>
      </c>
      <c r="D100" s="65">
        <v>5467381</v>
      </c>
      <c r="E100" s="65">
        <v>4995996</v>
      </c>
      <c r="F100" s="65">
        <v>13291877</v>
      </c>
      <c r="G100" s="65">
        <v>7604324</v>
      </c>
    </row>
    <row r="101" spans="1:7">
      <c r="A101" t="s">
        <v>83</v>
      </c>
      <c r="C101" s="62">
        <v>5467381</v>
      </c>
      <c r="D101" s="62">
        <v>4995996</v>
      </c>
      <c r="E101" s="62">
        <v>13291877</v>
      </c>
      <c r="F101" s="62">
        <v>12991511</v>
      </c>
      <c r="G101" s="62">
        <v>12991511</v>
      </c>
    </row>
    <row r="102" spans="1:7">
      <c r="A102" t="s">
        <v>71</v>
      </c>
      <c r="C102" s="62"/>
      <c r="D102" s="62"/>
      <c r="E102" s="62"/>
      <c r="F102" s="62"/>
      <c r="G102" s="62"/>
    </row>
    <row r="103" spans="1:7">
      <c r="A103" s="66" t="s">
        <v>84</v>
      </c>
      <c r="B103" s="66"/>
      <c r="C103" s="62"/>
      <c r="D103" s="62"/>
      <c r="E103" s="62"/>
      <c r="F103" s="62"/>
      <c r="G103" s="62"/>
    </row>
    <row r="104" spans="1:7">
      <c r="A104" t="s">
        <v>85</v>
      </c>
      <c r="C104" s="62">
        <v>13472</v>
      </c>
      <c r="D104" s="62">
        <v>9797</v>
      </c>
      <c r="E104" s="62">
        <v>8872</v>
      </c>
      <c r="F104" s="62">
        <v>5821</v>
      </c>
      <c r="G104" s="62">
        <v>37962</v>
      </c>
    </row>
    <row r="105" spans="1:7">
      <c r="A105" t="s">
        <v>86</v>
      </c>
      <c r="C105" s="62">
        <v>0</v>
      </c>
      <c r="D105" s="62">
        <v>0</v>
      </c>
      <c r="E105" s="62">
        <v>0</v>
      </c>
      <c r="F105" s="62">
        <v>0</v>
      </c>
      <c r="G105" s="62">
        <v>0</v>
      </c>
    </row>
    <row r="106" spans="1:7">
      <c r="A106" t="s">
        <v>87</v>
      </c>
      <c r="C106" s="62">
        <v>0</v>
      </c>
      <c r="D106" s="62">
        <v>0</v>
      </c>
      <c r="E106" s="62">
        <v>0</v>
      </c>
      <c r="F106" s="62">
        <v>0</v>
      </c>
      <c r="G106" s="62">
        <v>0</v>
      </c>
    </row>
    <row r="107" spans="1:7">
      <c r="A107" t="s">
        <v>88</v>
      </c>
      <c r="C107" s="62">
        <v>94311</v>
      </c>
      <c r="D107" s="62">
        <v>0</v>
      </c>
      <c r="E107" s="62">
        <v>0</v>
      </c>
      <c r="F107" s="62">
        <v>0</v>
      </c>
      <c r="G107" s="62">
        <v>94311</v>
      </c>
    </row>
    <row r="108" spans="1:7">
      <c r="A108" t="s">
        <v>89</v>
      </c>
      <c r="C108" s="62">
        <v>140931</v>
      </c>
      <c r="D108" s="62">
        <v>0</v>
      </c>
      <c r="E108" s="62">
        <v>0</v>
      </c>
      <c r="F108" s="62">
        <v>142871</v>
      </c>
      <c r="G108" s="62">
        <v>283802</v>
      </c>
    </row>
    <row r="109" spans="1:7">
      <c r="A109" t="s">
        <v>90</v>
      </c>
      <c r="C109" s="62">
        <v>0</v>
      </c>
      <c r="D109" s="62">
        <v>-10620</v>
      </c>
      <c r="E109" s="62">
        <v>0</v>
      </c>
      <c r="F109" s="62">
        <v>0</v>
      </c>
      <c r="G109" s="62">
        <v>-10620</v>
      </c>
    </row>
    <row r="110" spans="1:7">
      <c r="A110" t="s">
        <v>91</v>
      </c>
      <c r="C110" s="62">
        <v>0</v>
      </c>
      <c r="D110" s="62">
        <v>-33000</v>
      </c>
      <c r="E110" s="62">
        <v>0</v>
      </c>
      <c r="F110" s="62">
        <v>0</v>
      </c>
      <c r="G110" s="62">
        <v>-33000</v>
      </c>
    </row>
    <row r="111" spans="1:7">
      <c r="A111" t="s">
        <v>92</v>
      </c>
      <c r="C111" s="62">
        <v>0</v>
      </c>
      <c r="D111" s="62">
        <v>0</v>
      </c>
      <c r="E111" s="62">
        <v>1917122</v>
      </c>
      <c r="F111" s="62">
        <v>0</v>
      </c>
      <c r="G111" s="62">
        <v>1917122</v>
      </c>
    </row>
  </sheetData>
  <mergeCells count="5">
    <mergeCell ref="C4:G4"/>
    <mergeCell ref="C60:G60"/>
    <mergeCell ref="C29:G29"/>
    <mergeCell ref="C5:F5"/>
    <mergeCell ref="C61:F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tabColor rgb="FF92D050"/>
    <pageSetUpPr fitToPage="1"/>
  </sheetPr>
  <dimension ref="A1:L27"/>
  <sheetViews>
    <sheetView topLeftCell="A7" workbookViewId="0">
      <selection activeCell="E25" sqref="E25"/>
    </sheetView>
  </sheetViews>
  <sheetFormatPr defaultRowHeight="14.5"/>
  <cols>
    <col min="1" max="1" width="43.90625" customWidth="1"/>
    <col min="2" max="2" width="1.81640625" customWidth="1"/>
    <col min="3" max="3" width="13.7265625" style="99" customWidth="1"/>
    <col min="4" max="5" width="13.7265625" customWidth="1"/>
    <col min="6" max="7" width="13.453125" customWidth="1"/>
    <col min="8" max="8" width="14.7265625" customWidth="1"/>
    <col min="9" max="9" width="12.26953125" customWidth="1"/>
    <col min="10" max="10" width="11.7265625" customWidth="1"/>
    <col min="11" max="11" width="12" customWidth="1"/>
    <col min="12" max="12" width="11.54296875" customWidth="1"/>
  </cols>
  <sheetData>
    <row r="1" spans="1:12" ht="18.5">
      <c r="A1" s="77" t="s">
        <v>17</v>
      </c>
      <c r="B1" s="13"/>
      <c r="C1" s="13"/>
      <c r="D1" s="13"/>
      <c r="E1" s="13"/>
      <c r="F1" s="13"/>
      <c r="G1" s="13"/>
      <c r="H1" s="13"/>
      <c r="I1" s="13"/>
      <c r="J1" s="13"/>
      <c r="K1" s="13"/>
      <c r="L1" s="13"/>
    </row>
    <row r="2" spans="1:12" ht="18.5">
      <c r="A2" s="77" t="s">
        <v>36</v>
      </c>
      <c r="B2" s="13"/>
      <c r="C2" s="13"/>
      <c r="D2" s="13"/>
      <c r="E2" s="13"/>
      <c r="F2" s="13"/>
      <c r="G2" s="13"/>
      <c r="H2" s="13"/>
      <c r="I2" s="13"/>
      <c r="J2" s="13"/>
      <c r="K2" s="13"/>
      <c r="L2" s="13"/>
    </row>
    <row r="3" spans="1:12" ht="56" customHeight="1">
      <c r="A3" s="116" t="s">
        <v>127</v>
      </c>
      <c r="B3" s="112"/>
      <c r="C3" s="112"/>
      <c r="D3" s="112"/>
      <c r="E3" s="112"/>
      <c r="F3" s="116"/>
      <c r="G3" s="112"/>
      <c r="H3" s="112"/>
      <c r="I3" s="112"/>
      <c r="J3" s="112"/>
      <c r="K3" s="116"/>
      <c r="L3" s="112"/>
    </row>
    <row r="4" spans="1:12" ht="9" customHeight="1">
      <c r="A4" s="12"/>
      <c r="B4" s="12"/>
      <c r="C4" s="12"/>
      <c r="D4" s="12"/>
      <c r="E4" s="12"/>
      <c r="F4" s="12"/>
      <c r="G4" s="115"/>
      <c r="H4" s="115"/>
      <c r="I4" s="13"/>
      <c r="J4" s="13"/>
      <c r="K4" s="13"/>
      <c r="L4" s="13"/>
    </row>
    <row r="5" spans="1:12" s="1" customFormat="1" ht="25.5" customHeight="1">
      <c r="A5" s="97"/>
      <c r="B5" s="97"/>
      <c r="C5" s="96" t="s">
        <v>129</v>
      </c>
      <c r="D5" s="96" t="s">
        <v>128</v>
      </c>
      <c r="E5" s="96" t="s">
        <v>108</v>
      </c>
      <c r="F5" s="96" t="s">
        <v>103</v>
      </c>
      <c r="G5" s="96" t="s">
        <v>19</v>
      </c>
      <c r="H5" s="96" t="s">
        <v>18</v>
      </c>
      <c r="I5" s="96" t="s">
        <v>15</v>
      </c>
      <c r="J5" s="96" t="s">
        <v>14</v>
      </c>
      <c r="K5" s="96" t="s">
        <v>13</v>
      </c>
      <c r="L5" s="96" t="s">
        <v>12</v>
      </c>
    </row>
    <row r="6" spans="1:12" s="103" customFormat="1" ht="15.75" customHeight="1">
      <c r="A6" s="5" t="s">
        <v>104</v>
      </c>
      <c r="B6" s="5"/>
      <c r="C6" s="104">
        <v>1677168</v>
      </c>
      <c r="D6" s="104">
        <f>-1015943</f>
        <v>-1015943</v>
      </c>
      <c r="E6" s="104">
        <v>153758</v>
      </c>
      <c r="F6" s="104">
        <v>39140</v>
      </c>
      <c r="G6" s="104">
        <f>-2772605</f>
        <v>-2772605</v>
      </c>
      <c r="H6" s="104">
        <f>-538618</f>
        <v>-538618</v>
      </c>
      <c r="I6" s="104">
        <f>-1821061</f>
        <v>-1821061</v>
      </c>
      <c r="J6" s="104">
        <f>-78954</f>
        <v>-78954</v>
      </c>
      <c r="K6" s="104">
        <f>-1923054</f>
        <v>-1923054</v>
      </c>
      <c r="L6" s="104">
        <f>-2514268</f>
        <v>-2514268</v>
      </c>
    </row>
    <row r="7" spans="1:12" s="1" customFormat="1" ht="13">
      <c r="A7" s="4" t="s">
        <v>21</v>
      </c>
      <c r="B7" s="4"/>
      <c r="C7" s="6"/>
      <c r="D7" s="6"/>
      <c r="E7" s="6"/>
      <c r="F7" s="6"/>
      <c r="G7" s="6"/>
      <c r="H7" s="6"/>
      <c r="I7" s="6"/>
      <c r="J7" s="6"/>
      <c r="K7" s="6"/>
      <c r="L7" s="6"/>
    </row>
    <row r="8" spans="1:12" s="1" customFormat="1" ht="13">
      <c r="A8" s="4" t="s">
        <v>28</v>
      </c>
      <c r="B8" s="4"/>
      <c r="C8" s="6"/>
      <c r="D8" s="6"/>
      <c r="E8" s="6"/>
      <c r="F8" s="6"/>
      <c r="G8" s="6"/>
      <c r="H8" s="6"/>
      <c r="I8" s="6"/>
      <c r="J8" s="6"/>
      <c r="K8" s="6"/>
      <c r="L8" s="6"/>
    </row>
    <row r="9" spans="1:12" s="1" customFormat="1" ht="13">
      <c r="A9" s="4" t="s">
        <v>29</v>
      </c>
      <c r="B9" s="4"/>
      <c r="C9" s="6"/>
      <c r="D9" s="6"/>
      <c r="E9" s="6"/>
      <c r="F9" s="6"/>
      <c r="G9" s="6"/>
      <c r="H9" s="6"/>
      <c r="I9" s="6"/>
      <c r="J9" s="6"/>
      <c r="K9" s="6"/>
      <c r="L9" s="6"/>
    </row>
    <row r="10" spans="1:12" s="1" customFormat="1" ht="13">
      <c r="A10" s="4" t="s">
        <v>27</v>
      </c>
      <c r="B10" s="4"/>
      <c r="C10" s="6"/>
      <c r="D10" s="6"/>
      <c r="E10" s="6"/>
      <c r="F10" s="6">
        <v>328000</v>
      </c>
      <c r="G10" s="6">
        <v>2229000</v>
      </c>
      <c r="H10" s="6"/>
      <c r="I10" s="6"/>
      <c r="J10" s="6"/>
      <c r="K10" s="6"/>
      <c r="L10" s="6"/>
    </row>
    <row r="11" spans="1:12" s="1" customFormat="1" ht="13">
      <c r="A11" s="4" t="s">
        <v>44</v>
      </c>
      <c r="B11" s="4"/>
      <c r="C11" s="6"/>
      <c r="D11" s="6"/>
      <c r="E11" s="6"/>
      <c r="F11" s="6"/>
      <c r="G11" s="6"/>
      <c r="H11" s="6"/>
      <c r="I11" s="6">
        <v>975000</v>
      </c>
      <c r="J11" s="6"/>
      <c r="K11" s="6"/>
      <c r="L11" s="6"/>
    </row>
    <row r="12" spans="1:12" s="1" customFormat="1" ht="13">
      <c r="A12" s="4" t="s">
        <v>30</v>
      </c>
      <c r="B12" s="4"/>
      <c r="C12" s="6"/>
      <c r="D12" s="6"/>
      <c r="E12" s="6"/>
      <c r="F12" s="6"/>
      <c r="G12" s="6"/>
      <c r="H12" s="6"/>
      <c r="I12" s="6"/>
      <c r="J12" s="6"/>
      <c r="K12" s="6">
        <v>581900</v>
      </c>
      <c r="L12" s="6"/>
    </row>
    <row r="13" spans="1:12" s="1" customFormat="1" ht="13">
      <c r="A13" s="4" t="s">
        <v>43</v>
      </c>
      <c r="B13" s="4"/>
      <c r="C13" s="6">
        <f>-1517384</f>
        <v>-1517384</v>
      </c>
      <c r="D13" s="6">
        <v>1308954</v>
      </c>
      <c r="E13" s="6">
        <v>403635</v>
      </c>
      <c r="F13" s="6">
        <f>-463133</f>
        <v>-463133</v>
      </c>
      <c r="G13" s="6">
        <v>169755</v>
      </c>
      <c r="H13" s="6">
        <f>-95074</f>
        <v>-95074</v>
      </c>
      <c r="I13" s="6">
        <f>-151759</f>
        <v>-151759</v>
      </c>
      <c r="J13" s="6">
        <f>-1736609</f>
        <v>-1736609</v>
      </c>
      <c r="K13" s="6">
        <f>-35609</f>
        <v>-35609</v>
      </c>
      <c r="L13" s="7">
        <v>850740</v>
      </c>
    </row>
    <row r="14" spans="1:12" s="103" customFormat="1" ht="13.5" thickBot="1">
      <c r="A14" s="5" t="s">
        <v>109</v>
      </c>
      <c r="B14" s="5"/>
      <c r="C14" s="105">
        <f t="shared" ref="C14" si="0">SUM(C6:C13)</f>
        <v>159784</v>
      </c>
      <c r="D14" s="105">
        <f t="shared" ref="D14:E14" si="1">SUM(D6:D13)</f>
        <v>293011</v>
      </c>
      <c r="E14" s="105">
        <f t="shared" si="1"/>
        <v>557393</v>
      </c>
      <c r="F14" s="105">
        <f t="shared" ref="F14" si="2">SUM(F6:F13)</f>
        <v>-95993</v>
      </c>
      <c r="G14" s="105">
        <f t="shared" ref="G14:L14" si="3">SUM(G6:G13)</f>
        <v>-373850</v>
      </c>
      <c r="H14" s="105">
        <f t="shared" si="3"/>
        <v>-633692</v>
      </c>
      <c r="I14" s="105">
        <f t="shared" si="3"/>
        <v>-997820</v>
      </c>
      <c r="J14" s="105">
        <f t="shared" si="3"/>
        <v>-1815563</v>
      </c>
      <c r="K14" s="105">
        <f t="shared" si="3"/>
        <v>-1376763</v>
      </c>
      <c r="L14" s="105">
        <f t="shared" si="3"/>
        <v>-1663528</v>
      </c>
    </row>
    <row r="15" spans="1:12" s="1" customFormat="1" ht="13.5" thickTop="1">
      <c r="A15" s="5"/>
      <c r="B15" s="4"/>
      <c r="C15" s="4"/>
      <c r="D15" s="4"/>
      <c r="E15" s="4"/>
      <c r="F15" s="27"/>
      <c r="G15" s="27"/>
      <c r="H15" s="27"/>
      <c r="I15" s="27"/>
      <c r="J15" s="27"/>
      <c r="K15" s="27"/>
      <c r="L15" s="27"/>
    </row>
    <row r="16" spans="1:12" s="1" customFormat="1" ht="13">
      <c r="A16" s="4" t="s">
        <v>104</v>
      </c>
      <c r="B16" s="4"/>
      <c r="C16" s="27">
        <f>C6</f>
        <v>1677168</v>
      </c>
      <c r="D16" s="27">
        <f>D6</f>
        <v>-1015943</v>
      </c>
      <c r="E16" s="27">
        <f>E6</f>
        <v>153758</v>
      </c>
      <c r="F16" s="27">
        <f t="shared" ref="F16:L16" si="4">F6</f>
        <v>39140</v>
      </c>
      <c r="G16" s="27">
        <f t="shared" si="4"/>
        <v>-2772605</v>
      </c>
      <c r="H16" s="27">
        <f t="shared" si="4"/>
        <v>-538618</v>
      </c>
      <c r="I16" s="27">
        <f t="shared" si="4"/>
        <v>-1821061</v>
      </c>
      <c r="J16" s="27">
        <f t="shared" si="4"/>
        <v>-78954</v>
      </c>
      <c r="K16" s="27">
        <f t="shared" si="4"/>
        <v>-1923054</v>
      </c>
      <c r="L16" s="27">
        <f t="shared" si="4"/>
        <v>-2514268</v>
      </c>
    </row>
    <row r="17" spans="1:12" s="1" customFormat="1" ht="13">
      <c r="A17" s="4" t="s">
        <v>109</v>
      </c>
      <c r="B17" s="4"/>
      <c r="C17" s="27">
        <f>C14</f>
        <v>159784</v>
      </c>
      <c r="D17" s="27">
        <f>D14</f>
        <v>293011</v>
      </c>
      <c r="E17" s="27">
        <f>E14</f>
        <v>557393</v>
      </c>
      <c r="F17" s="27">
        <f t="shared" ref="F17:L17" si="5">F14</f>
        <v>-95993</v>
      </c>
      <c r="G17" s="27">
        <f t="shared" si="5"/>
        <v>-373850</v>
      </c>
      <c r="H17" s="27">
        <f t="shared" si="5"/>
        <v>-633692</v>
      </c>
      <c r="I17" s="27">
        <f t="shared" si="5"/>
        <v>-997820</v>
      </c>
      <c r="J17" s="27">
        <f t="shared" si="5"/>
        <v>-1815563</v>
      </c>
      <c r="K17" s="27">
        <f t="shared" si="5"/>
        <v>-1376763</v>
      </c>
      <c r="L17" s="27">
        <f t="shared" si="5"/>
        <v>-1663528</v>
      </c>
    </row>
    <row r="18" spans="1:12" s="1" customFormat="1" ht="9.75" customHeight="1">
      <c r="A18" s="4"/>
      <c r="B18" s="4"/>
      <c r="C18" s="27"/>
      <c r="D18" s="27"/>
      <c r="E18" s="27"/>
      <c r="F18" s="27"/>
      <c r="G18" s="27"/>
      <c r="H18" s="27"/>
      <c r="I18" s="27"/>
      <c r="J18" s="27"/>
      <c r="K18" s="27"/>
      <c r="L18" s="27"/>
    </row>
    <row r="19" spans="1:12" s="1" customFormat="1" ht="13">
      <c r="A19" s="4" t="s">
        <v>33</v>
      </c>
      <c r="B19" s="4"/>
      <c r="C19" s="60"/>
      <c r="D19" s="60">
        <f>-332226</f>
        <v>-332226</v>
      </c>
      <c r="E19" s="60"/>
      <c r="F19" s="60">
        <f>-332226</f>
        <v>-332226</v>
      </c>
      <c r="G19" s="60">
        <v>0</v>
      </c>
      <c r="H19" s="60">
        <f>-332226</f>
        <v>-332226</v>
      </c>
      <c r="I19" s="60">
        <v>0</v>
      </c>
      <c r="J19" s="60">
        <f>-332226</f>
        <v>-332226</v>
      </c>
      <c r="K19" s="60">
        <v>0</v>
      </c>
      <c r="L19" s="60">
        <f>-332226</f>
        <v>-332226</v>
      </c>
    </row>
    <row r="20" spans="1:12" s="103" customFormat="1" ht="15" customHeight="1" thickBot="1">
      <c r="A20" s="5" t="s">
        <v>119</v>
      </c>
      <c r="B20" s="5"/>
      <c r="C20" s="93">
        <f>C6+C19</f>
        <v>1677168</v>
      </c>
      <c r="D20" s="93">
        <f>D6+D19</f>
        <v>-1348169</v>
      </c>
      <c r="E20" s="93">
        <f>E6+E19</f>
        <v>153758</v>
      </c>
      <c r="F20" s="94">
        <f t="shared" ref="F20:L20" si="6">F16+F19</f>
        <v>-293086</v>
      </c>
      <c r="G20" s="94">
        <f t="shared" si="6"/>
        <v>-2772605</v>
      </c>
      <c r="H20" s="94">
        <f t="shared" si="6"/>
        <v>-870844</v>
      </c>
      <c r="I20" s="94">
        <f t="shared" si="6"/>
        <v>-1821061</v>
      </c>
      <c r="J20" s="94">
        <f t="shared" si="6"/>
        <v>-411180</v>
      </c>
      <c r="K20" s="94">
        <f t="shared" si="6"/>
        <v>-1923054</v>
      </c>
      <c r="L20" s="94">
        <f t="shared" si="6"/>
        <v>-2846494</v>
      </c>
    </row>
    <row r="21" spans="1:12" s="1" customFormat="1" ht="15" customHeight="1" thickTop="1" thickBot="1">
      <c r="A21" s="5" t="s">
        <v>120</v>
      </c>
      <c r="B21" s="4"/>
      <c r="C21" s="94">
        <f>C17+C19</f>
        <v>159784</v>
      </c>
      <c r="D21" s="94">
        <f>D17+D19</f>
        <v>-39215</v>
      </c>
      <c r="E21" s="94">
        <f>E17+E19</f>
        <v>557393</v>
      </c>
      <c r="F21" s="94">
        <f t="shared" ref="F21:L21" si="7">F17+F19</f>
        <v>-428219</v>
      </c>
      <c r="G21" s="94">
        <f t="shared" si="7"/>
        <v>-373850</v>
      </c>
      <c r="H21" s="94">
        <f t="shared" si="7"/>
        <v>-965918</v>
      </c>
      <c r="I21" s="94">
        <f t="shared" si="7"/>
        <v>-997820</v>
      </c>
      <c r="J21" s="94">
        <f t="shared" si="7"/>
        <v>-2147789</v>
      </c>
      <c r="K21" s="94">
        <f t="shared" si="7"/>
        <v>-1376763</v>
      </c>
      <c r="L21" s="94">
        <f t="shared" si="7"/>
        <v>-1995754</v>
      </c>
    </row>
    <row r="22" spans="1:12" s="1" customFormat="1" ht="29" customHeight="1" thickTop="1" thickBot="1">
      <c r="A22" s="16" t="s">
        <v>132</v>
      </c>
      <c r="B22" s="4"/>
      <c r="C22" s="19">
        <v>33080641</v>
      </c>
      <c r="D22" s="86">
        <v>32821345</v>
      </c>
      <c r="E22" s="19">
        <v>32734394</v>
      </c>
      <c r="F22" s="19">
        <v>32518230</v>
      </c>
      <c r="G22" s="19">
        <v>32496327</v>
      </c>
      <c r="H22" s="19">
        <v>32466528</v>
      </c>
      <c r="I22" s="19">
        <v>32448040</v>
      </c>
      <c r="J22" s="19">
        <v>32288638</v>
      </c>
      <c r="K22" s="19">
        <v>31929532</v>
      </c>
      <c r="L22" s="19">
        <v>26914004</v>
      </c>
    </row>
    <row r="23" spans="1:12" s="1" customFormat="1" ht="27" thickTop="1" thickBot="1">
      <c r="A23" s="16" t="s">
        <v>113</v>
      </c>
      <c r="B23" s="2"/>
      <c r="C23" s="19">
        <v>34115444</v>
      </c>
      <c r="D23" s="86">
        <v>34149016</v>
      </c>
      <c r="E23" s="19">
        <v>33468336</v>
      </c>
      <c r="F23" s="19">
        <v>32518230</v>
      </c>
      <c r="G23" s="19">
        <v>32496327</v>
      </c>
      <c r="H23" s="19">
        <v>32466528</v>
      </c>
      <c r="I23" s="19">
        <v>32448040</v>
      </c>
      <c r="J23" s="19">
        <v>32288638</v>
      </c>
      <c r="K23" s="19">
        <v>31929532</v>
      </c>
      <c r="L23" s="19">
        <v>26914004</v>
      </c>
    </row>
    <row r="24" spans="1:12" s="103" customFormat="1" ht="19" customHeight="1" thickTop="1" thickBot="1">
      <c r="A24" s="17" t="s">
        <v>122</v>
      </c>
      <c r="B24" s="102"/>
      <c r="C24" s="92">
        <f t="shared" ref="C24:L24" si="8">IF(C20&gt;0,(C20/C23),C20/C22)</f>
        <v>4.9161546893541824E-2</v>
      </c>
      <c r="D24" s="92">
        <f t="shared" si="8"/>
        <v>-4.1075982717953818E-2</v>
      </c>
      <c r="E24" s="92">
        <f t="shared" si="8"/>
        <v>4.5941333922307941E-3</v>
      </c>
      <c r="F24" s="92">
        <f t="shared" si="8"/>
        <v>-9.0129751834586314E-3</v>
      </c>
      <c r="G24" s="92">
        <f t="shared" si="8"/>
        <v>-8.5320565613461491E-2</v>
      </c>
      <c r="H24" s="92">
        <f t="shared" si="8"/>
        <v>-2.6822825033831765E-2</v>
      </c>
      <c r="I24" s="92">
        <f t="shared" si="8"/>
        <v>-5.6122372876759273E-2</v>
      </c>
      <c r="J24" s="92">
        <f t="shared" si="8"/>
        <v>-1.2734510511096813E-2</v>
      </c>
      <c r="K24" s="92">
        <f t="shared" si="8"/>
        <v>-6.0228067232554486E-2</v>
      </c>
      <c r="L24" s="92">
        <f t="shared" si="8"/>
        <v>-0.10576256137882717</v>
      </c>
    </row>
    <row r="25" spans="1:12" s="103" customFormat="1" ht="29.5" customHeight="1" thickTop="1" thickBot="1">
      <c r="A25" s="17" t="s">
        <v>123</v>
      </c>
      <c r="B25" s="102"/>
      <c r="C25" s="92">
        <f t="shared" ref="C25:L25" si="9">IF(C17&gt;0,(C21/C23),C21/C23)</f>
        <v>4.6836265710040294E-3</v>
      </c>
      <c r="D25" s="92">
        <f t="shared" si="9"/>
        <v>-1.1483493404319469E-3</v>
      </c>
      <c r="E25" s="109">
        <f t="shared" si="9"/>
        <v>1.6654338596337744E-2</v>
      </c>
      <c r="F25" s="92">
        <f t="shared" si="9"/>
        <v>-1.3168582668859898E-2</v>
      </c>
      <c r="G25" s="92">
        <f t="shared" si="9"/>
        <v>-1.1504377094679039E-2</v>
      </c>
      <c r="H25" s="92">
        <f t="shared" si="9"/>
        <v>-2.9751194830565191E-2</v>
      </c>
      <c r="I25" s="92">
        <f t="shared" si="9"/>
        <v>-3.0751318107349473E-2</v>
      </c>
      <c r="J25" s="92">
        <f t="shared" si="9"/>
        <v>-6.6518414310321794E-2</v>
      </c>
      <c r="K25" s="92">
        <f t="shared" si="9"/>
        <v>-4.3118796730249598E-2</v>
      </c>
      <c r="L25" s="92">
        <f t="shared" si="9"/>
        <v>-7.4152994849818701E-2</v>
      </c>
    </row>
    <row r="26" spans="1:12" s="1" customFormat="1" ht="13.5" thickTop="1">
      <c r="A26" s="2"/>
      <c r="B26" s="2"/>
      <c r="C26" s="2"/>
      <c r="D26" s="2"/>
      <c r="E26" s="2"/>
      <c r="F26" s="2"/>
      <c r="G26" s="2"/>
      <c r="H26" s="2"/>
      <c r="I26" s="2"/>
      <c r="J26" s="2"/>
      <c r="K26" s="2"/>
      <c r="L26" s="2"/>
    </row>
    <row r="27" spans="1:12">
      <c r="A27" s="13"/>
      <c r="B27" s="13"/>
      <c r="C27" s="110"/>
      <c r="D27" s="107"/>
    </row>
  </sheetData>
  <mergeCells count="4">
    <mergeCell ref="G4:H4"/>
    <mergeCell ref="A3:E3"/>
    <mergeCell ref="F3:J3"/>
    <mergeCell ref="K3:L3"/>
  </mergeCells>
  <pageMargins left="0.7" right="0.7" top="0.75" bottom="0.75" header="0.3" footer="0.3"/>
  <pageSetup scale="68" orientation="landscape"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A1:J24"/>
  <sheetViews>
    <sheetView topLeftCell="A3" workbookViewId="0">
      <selection activeCell="A23" sqref="A23"/>
    </sheetView>
  </sheetViews>
  <sheetFormatPr defaultRowHeight="14.5"/>
  <cols>
    <col min="1" max="1" width="45.7265625" customWidth="1"/>
    <col min="2" max="2" width="1.81640625" customWidth="1"/>
    <col min="3" max="5" width="13.453125" customWidth="1"/>
    <col min="6" max="6" width="14.7265625" customWidth="1"/>
    <col min="7" max="7" width="12.26953125" customWidth="1"/>
    <col min="8" max="8" width="11.7265625" customWidth="1"/>
    <col min="9" max="9" width="12" customWidth="1"/>
    <col min="10" max="10" width="11.54296875" customWidth="1"/>
  </cols>
  <sheetData>
    <row r="1" spans="1:10" ht="18.5">
      <c r="A1" s="14" t="s">
        <v>17</v>
      </c>
    </row>
    <row r="2" spans="1:10" ht="18.5">
      <c r="A2" s="14" t="s">
        <v>36</v>
      </c>
      <c r="B2" s="13"/>
      <c r="C2" s="13"/>
      <c r="D2" s="13"/>
      <c r="E2" s="13"/>
    </row>
    <row r="3" spans="1:10" ht="18.5">
      <c r="A3" s="14" t="s">
        <v>37</v>
      </c>
      <c r="B3" s="13"/>
      <c r="C3" s="13"/>
      <c r="D3" s="13"/>
      <c r="E3" s="13"/>
    </row>
    <row r="4" spans="1:10" ht="9" customHeight="1">
      <c r="A4" s="12"/>
      <c r="B4" s="12"/>
      <c r="C4" s="12"/>
      <c r="D4" s="12"/>
      <c r="E4" s="115"/>
      <c r="F4" s="115"/>
    </row>
    <row r="5" spans="1:10" s="1" customFormat="1" ht="25.5" customHeight="1">
      <c r="A5" s="23"/>
      <c r="B5" s="23"/>
      <c r="C5" s="10" t="s">
        <v>108</v>
      </c>
      <c r="D5" s="10" t="s">
        <v>103</v>
      </c>
      <c r="E5" s="10" t="s">
        <v>19</v>
      </c>
      <c r="F5" s="10" t="s">
        <v>18</v>
      </c>
      <c r="G5" s="10" t="s">
        <v>15</v>
      </c>
      <c r="H5" s="10" t="s">
        <v>14</v>
      </c>
      <c r="I5" s="10" t="s">
        <v>13</v>
      </c>
      <c r="J5" s="10" t="s">
        <v>12</v>
      </c>
    </row>
    <row r="6" spans="1:10" s="1" customFormat="1" ht="15.75" customHeight="1">
      <c r="A6" s="5" t="s">
        <v>104</v>
      </c>
      <c r="B6" s="4"/>
      <c r="C6" s="9">
        <v>153758</v>
      </c>
      <c r="D6" s="9">
        <v>39140</v>
      </c>
      <c r="E6" s="9">
        <f>-2772605</f>
        <v>-2772605</v>
      </c>
      <c r="F6" s="9">
        <f>-538618</f>
        <v>-538618</v>
      </c>
      <c r="G6" s="9">
        <f>-1821061</f>
        <v>-1821061</v>
      </c>
      <c r="H6" s="9">
        <f>-78954</f>
        <v>-78954</v>
      </c>
      <c r="I6" s="9">
        <f>-1923054</f>
        <v>-1923054</v>
      </c>
      <c r="J6" s="9">
        <f>-2514268</f>
        <v>-2514268</v>
      </c>
    </row>
    <row r="7" spans="1:10" s="1" customFormat="1" ht="13">
      <c r="A7" s="4" t="s">
        <v>21</v>
      </c>
      <c r="B7" s="4"/>
      <c r="C7" s="6"/>
      <c r="D7" s="6"/>
      <c r="E7" s="6"/>
      <c r="F7" s="6"/>
      <c r="G7" s="6"/>
      <c r="H7" s="6"/>
      <c r="I7" s="6"/>
      <c r="J7" s="6"/>
    </row>
    <row r="8" spans="1:10" s="1" customFormat="1" ht="13">
      <c r="A8" s="4" t="s">
        <v>28</v>
      </c>
      <c r="B8" s="4"/>
      <c r="C8" s="6"/>
      <c r="D8" s="6"/>
      <c r="E8" s="6"/>
      <c r="F8" s="6"/>
      <c r="G8" s="6"/>
      <c r="H8" s="6"/>
      <c r="I8" s="6"/>
      <c r="J8" s="6"/>
    </row>
    <row r="9" spans="1:10" s="1" customFormat="1" ht="13">
      <c r="A9" s="4" t="s">
        <v>29</v>
      </c>
      <c r="B9" s="4"/>
      <c r="C9" s="6"/>
      <c r="D9" s="6"/>
      <c r="E9" s="6"/>
      <c r="F9" s="6"/>
      <c r="G9" s="6"/>
      <c r="H9" s="6"/>
      <c r="I9" s="6"/>
      <c r="J9" s="6"/>
    </row>
    <row r="10" spans="1:10" s="1" customFormat="1" ht="13">
      <c r="A10" s="4" t="s">
        <v>27</v>
      </c>
      <c r="B10" s="4"/>
      <c r="C10" s="6"/>
      <c r="D10" s="6">
        <v>328000</v>
      </c>
      <c r="E10" s="6">
        <v>2229000</v>
      </c>
      <c r="F10" s="6"/>
      <c r="G10" s="6"/>
      <c r="H10" s="6"/>
      <c r="I10" s="6"/>
      <c r="J10" s="6"/>
    </row>
    <row r="11" spans="1:10" s="1" customFormat="1" ht="13">
      <c r="A11" s="4" t="s">
        <v>44</v>
      </c>
      <c r="B11" s="4"/>
      <c r="C11" s="6"/>
      <c r="D11" s="6"/>
      <c r="E11" s="6"/>
      <c r="F11" s="6"/>
      <c r="G11" s="6">
        <v>975000</v>
      </c>
      <c r="H11" s="6"/>
      <c r="I11" s="6"/>
      <c r="J11" s="6"/>
    </row>
    <row r="12" spans="1:10" s="1" customFormat="1" ht="13">
      <c r="A12" s="4" t="s">
        <v>30</v>
      </c>
      <c r="B12" s="4"/>
      <c r="C12" s="6"/>
      <c r="D12" s="6"/>
      <c r="E12" s="6"/>
      <c r="F12" s="6"/>
      <c r="G12" s="6"/>
      <c r="H12" s="6"/>
      <c r="I12" s="6">
        <v>581900</v>
      </c>
      <c r="J12" s="6"/>
    </row>
    <row r="13" spans="1:10" s="1" customFormat="1" ht="13">
      <c r="A13" s="4" t="s">
        <v>43</v>
      </c>
      <c r="B13" s="4"/>
      <c r="C13" s="6">
        <v>403635</v>
      </c>
      <c r="D13" s="6">
        <f>-463133</f>
        <v>-463133</v>
      </c>
      <c r="E13" s="6">
        <v>169755</v>
      </c>
      <c r="F13" s="6">
        <f>-95074</f>
        <v>-95074</v>
      </c>
      <c r="G13" s="6">
        <f>-151759</f>
        <v>-151759</v>
      </c>
      <c r="H13" s="6">
        <f>-1736609</f>
        <v>-1736609</v>
      </c>
      <c r="I13" s="6">
        <f>-35609</f>
        <v>-35609</v>
      </c>
      <c r="J13" s="7">
        <v>850740</v>
      </c>
    </row>
    <row r="14" spans="1:10" s="1" customFormat="1" ht="13.5" thickBot="1">
      <c r="A14" s="28" t="s">
        <v>109</v>
      </c>
      <c r="B14" s="28"/>
      <c r="C14" s="89">
        <f t="shared" ref="C14:D14" si="0">SUM(C6:C13)</f>
        <v>557393</v>
      </c>
      <c r="D14" s="89">
        <f t="shared" si="0"/>
        <v>-95993</v>
      </c>
      <c r="E14" s="89">
        <f t="shared" ref="E14:J14" si="1">SUM(E6:E13)</f>
        <v>-373850</v>
      </c>
      <c r="F14" s="89">
        <f t="shared" si="1"/>
        <v>-633692</v>
      </c>
      <c r="G14" s="89">
        <f t="shared" si="1"/>
        <v>-997820</v>
      </c>
      <c r="H14" s="89">
        <f t="shared" si="1"/>
        <v>-1815563</v>
      </c>
      <c r="I14" s="89">
        <f t="shared" si="1"/>
        <v>-1376763</v>
      </c>
      <c r="J14" s="89">
        <f t="shared" si="1"/>
        <v>-1663528</v>
      </c>
    </row>
    <row r="15" spans="1:10" s="1" customFormat="1" ht="13.5" thickTop="1">
      <c r="A15" s="5"/>
      <c r="B15" s="4"/>
      <c r="C15" s="26"/>
      <c r="D15" s="26"/>
      <c r="E15" s="26"/>
      <c r="F15" s="26"/>
      <c r="G15" s="26"/>
      <c r="H15" s="26"/>
      <c r="I15" s="26"/>
      <c r="J15" s="26"/>
    </row>
    <row r="16" spans="1:10" s="1" customFormat="1" ht="13">
      <c r="A16" s="28" t="s">
        <v>104</v>
      </c>
      <c r="B16" s="28"/>
      <c r="C16" s="83">
        <f t="shared" ref="C16:D16" si="2">C6</f>
        <v>153758</v>
      </c>
      <c r="D16" s="83">
        <f t="shared" si="2"/>
        <v>39140</v>
      </c>
      <c r="E16" s="83">
        <f t="shared" ref="E16:J16" si="3">E6</f>
        <v>-2772605</v>
      </c>
      <c r="F16" s="83">
        <f t="shared" si="3"/>
        <v>-538618</v>
      </c>
      <c r="G16" s="83">
        <f t="shared" si="3"/>
        <v>-1821061</v>
      </c>
      <c r="H16" s="83">
        <f t="shared" si="3"/>
        <v>-78954</v>
      </c>
      <c r="I16" s="83">
        <f t="shared" si="3"/>
        <v>-1923054</v>
      </c>
      <c r="J16" s="83">
        <f t="shared" si="3"/>
        <v>-2514268</v>
      </c>
    </row>
    <row r="17" spans="1:10" s="1" customFormat="1" ht="13">
      <c r="A17" s="87" t="s">
        <v>33</v>
      </c>
      <c r="B17" s="87"/>
      <c r="C17" s="88"/>
      <c r="D17" s="88">
        <f>-332226</f>
        <v>-332226</v>
      </c>
      <c r="E17" s="88">
        <v>0</v>
      </c>
      <c r="F17" s="88">
        <f>-332226</f>
        <v>-332226</v>
      </c>
      <c r="G17" s="88">
        <v>0</v>
      </c>
      <c r="H17" s="88">
        <f>-332226</f>
        <v>-332226</v>
      </c>
      <c r="I17" s="88">
        <v>0</v>
      </c>
      <c r="J17" s="88">
        <f>-332226</f>
        <v>-332226</v>
      </c>
    </row>
    <row r="18" spans="1:10" s="1" customFormat="1" ht="15" customHeight="1" thickBot="1">
      <c r="A18" s="5" t="s">
        <v>112</v>
      </c>
      <c r="B18" s="4"/>
      <c r="C18" s="52">
        <f t="shared" ref="C18:J18" si="4">C16+C17</f>
        <v>153758</v>
      </c>
      <c r="D18" s="52">
        <f t="shared" si="4"/>
        <v>-293086</v>
      </c>
      <c r="E18" s="52">
        <f t="shared" si="4"/>
        <v>-2772605</v>
      </c>
      <c r="F18" s="52">
        <f t="shared" si="4"/>
        <v>-870844</v>
      </c>
      <c r="G18" s="25">
        <f t="shared" si="4"/>
        <v>-1821061</v>
      </c>
      <c r="H18" s="25">
        <f t="shared" si="4"/>
        <v>-411180</v>
      </c>
      <c r="I18" s="25">
        <f t="shared" si="4"/>
        <v>-1923054</v>
      </c>
      <c r="J18" s="25">
        <f t="shared" si="4"/>
        <v>-2846494</v>
      </c>
    </row>
    <row r="19" spans="1:10" s="1" customFormat="1" ht="27" thickTop="1" thickBot="1">
      <c r="A19" s="16" t="s">
        <v>113</v>
      </c>
      <c r="B19" s="2"/>
      <c r="C19" s="86">
        <v>33468336</v>
      </c>
      <c r="D19" s="19">
        <v>32518230</v>
      </c>
      <c r="E19" s="19">
        <v>32496327</v>
      </c>
      <c r="F19" s="19">
        <v>32466528</v>
      </c>
      <c r="G19" s="19">
        <v>32448040</v>
      </c>
      <c r="H19" s="19">
        <v>32288638</v>
      </c>
      <c r="I19" s="19">
        <v>31929532</v>
      </c>
      <c r="J19" s="19">
        <v>26914004</v>
      </c>
    </row>
    <row r="20" spans="1:10" s="1" customFormat="1" ht="14" thickTop="1" thickBot="1">
      <c r="A20" s="17" t="s">
        <v>114</v>
      </c>
      <c r="B20" s="2"/>
      <c r="C20" s="92">
        <f t="shared" ref="C20:J20" si="5">C18/C19</f>
        <v>4.5941333922307941E-3</v>
      </c>
      <c r="D20" s="92">
        <f t="shared" si="5"/>
        <v>-9.0129751834586314E-3</v>
      </c>
      <c r="E20" s="92">
        <f t="shared" si="5"/>
        <v>-8.5320565613461491E-2</v>
      </c>
      <c r="F20" s="92">
        <f t="shared" si="5"/>
        <v>-2.6822825033831765E-2</v>
      </c>
      <c r="G20" s="92">
        <f t="shared" si="5"/>
        <v>-5.6122372876759273E-2</v>
      </c>
      <c r="H20" s="92">
        <f t="shared" si="5"/>
        <v>-1.2734510511096813E-2</v>
      </c>
      <c r="I20" s="92">
        <f t="shared" si="5"/>
        <v>-6.0228067232554486E-2</v>
      </c>
      <c r="J20" s="92">
        <f t="shared" si="5"/>
        <v>-0.10576256137882717</v>
      </c>
    </row>
    <row r="21" spans="1:10" ht="15" thickTop="1"/>
    <row r="22" spans="1:10" s="1" customFormat="1" ht="13.5" thickBot="1">
      <c r="A22" s="90" t="s">
        <v>109</v>
      </c>
      <c r="B22" s="28"/>
      <c r="C22" s="83">
        <f t="shared" ref="C22:J22" si="6">C14</f>
        <v>557393</v>
      </c>
      <c r="D22" s="83">
        <f t="shared" si="6"/>
        <v>-95993</v>
      </c>
      <c r="E22" s="83">
        <f t="shared" si="6"/>
        <v>-373850</v>
      </c>
      <c r="F22" s="83">
        <f t="shared" si="6"/>
        <v>-633692</v>
      </c>
      <c r="G22" s="83">
        <f t="shared" si="6"/>
        <v>-997820</v>
      </c>
      <c r="H22" s="83">
        <f t="shared" si="6"/>
        <v>-1815563</v>
      </c>
      <c r="I22" s="83">
        <f t="shared" si="6"/>
        <v>-1376763</v>
      </c>
      <c r="J22" s="83">
        <f t="shared" si="6"/>
        <v>-1663528</v>
      </c>
    </row>
    <row r="23" spans="1:10" s="1" customFormat="1" ht="15.75" customHeight="1" thickTop="1" thickBot="1">
      <c r="A23" s="17" t="s">
        <v>115</v>
      </c>
      <c r="B23" s="2"/>
      <c r="C23" s="91">
        <f t="shared" ref="C23:J23" si="7">C22/C19</f>
        <v>1.6654338596337744E-2</v>
      </c>
      <c r="D23" s="91">
        <f t="shared" si="7"/>
        <v>-2.9519749383653416E-3</v>
      </c>
      <c r="E23" s="91">
        <f t="shared" si="7"/>
        <v>-1.1504377094679039E-2</v>
      </c>
      <c r="F23" s="91">
        <f t="shared" si="7"/>
        <v>-1.9518317449897939E-2</v>
      </c>
      <c r="G23" s="91">
        <f t="shared" si="7"/>
        <v>-3.0751318107349473E-2</v>
      </c>
      <c r="H23" s="91">
        <f t="shared" si="7"/>
        <v>-5.6229160238967034E-2</v>
      </c>
      <c r="I23" s="91">
        <f t="shared" si="7"/>
        <v>-4.3118796730249598E-2</v>
      </c>
      <c r="J23" s="91">
        <f t="shared" si="7"/>
        <v>-6.180901214104003E-2</v>
      </c>
    </row>
    <row r="24" spans="1:10" ht="15" thickTop="1"/>
  </sheetData>
  <mergeCells count="1">
    <mergeCell ref="E4:F4"/>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sheetPr>
    <tabColor rgb="FF92D050"/>
    <pageSetUpPr fitToPage="1"/>
  </sheetPr>
  <dimension ref="A1:F25"/>
  <sheetViews>
    <sheetView workbookViewId="0">
      <selection activeCell="C4" sqref="C4:D5"/>
    </sheetView>
  </sheetViews>
  <sheetFormatPr defaultRowHeight="14.5"/>
  <cols>
    <col min="1" max="1" width="37.1796875" customWidth="1"/>
    <col min="2" max="2" width="1.81640625" customWidth="1"/>
    <col min="3" max="3" width="13.26953125" customWidth="1"/>
    <col min="4" max="4" width="12.81640625" customWidth="1"/>
    <col min="6" max="6" width="12.54296875" bestFit="1" customWidth="1"/>
  </cols>
  <sheetData>
    <row r="1" spans="1:6" ht="18.5">
      <c r="A1" s="14" t="s">
        <v>17</v>
      </c>
    </row>
    <row r="2" spans="1:6" ht="18.5">
      <c r="A2" s="14" t="s">
        <v>36</v>
      </c>
      <c r="B2" s="13"/>
      <c r="C2" s="13"/>
      <c r="D2" s="13"/>
    </row>
    <row r="3" spans="1:6" ht="15.75" customHeight="1">
      <c r="A3" s="14" t="s">
        <v>37</v>
      </c>
      <c r="B3" s="12"/>
      <c r="C3" s="12"/>
      <c r="D3" s="12"/>
    </row>
    <row r="4" spans="1:6" ht="15.75" customHeight="1">
      <c r="A4" s="30"/>
      <c r="B4" s="30"/>
      <c r="C4" s="117" t="s">
        <v>25</v>
      </c>
      <c r="D4" s="117"/>
    </row>
    <row r="5" spans="1:6" s="1" customFormat="1" ht="12.75" customHeight="1">
      <c r="A5" s="31"/>
      <c r="B5" s="32"/>
      <c r="C5" s="33">
        <v>41090</v>
      </c>
      <c r="D5" s="33">
        <v>40724</v>
      </c>
    </row>
    <row r="6" spans="1:6" s="1" customFormat="1" ht="15.75" customHeight="1">
      <c r="A6" s="34" t="s">
        <v>31</v>
      </c>
      <c r="B6" s="35"/>
      <c r="C6" s="36">
        <f>-5211238</f>
        <v>-5211238</v>
      </c>
      <c r="D6" s="36">
        <f>-6457067</f>
        <v>-6457067</v>
      </c>
    </row>
    <row r="7" spans="1:6" s="1" customFormat="1" ht="13">
      <c r="A7" s="35" t="s">
        <v>21</v>
      </c>
      <c r="B7" s="35"/>
      <c r="C7" s="37"/>
      <c r="D7" s="37"/>
    </row>
    <row r="8" spans="1:6" s="1" customFormat="1" ht="13">
      <c r="A8" s="35" t="s">
        <v>28</v>
      </c>
      <c r="B8" s="35"/>
      <c r="C8" s="37"/>
      <c r="D8" s="37"/>
    </row>
    <row r="9" spans="1:6" s="1" customFormat="1" ht="13">
      <c r="A9" s="35" t="s">
        <v>29</v>
      </c>
      <c r="B9" s="35"/>
      <c r="C9" s="37"/>
      <c r="D9" s="37"/>
    </row>
    <row r="10" spans="1:6" s="1" customFormat="1" ht="13">
      <c r="A10" s="35" t="s">
        <v>22</v>
      </c>
      <c r="B10" s="35"/>
      <c r="C10" s="37">
        <v>2229000</v>
      </c>
      <c r="D10" s="37">
        <v>0</v>
      </c>
      <c r="F10" s="6"/>
    </row>
    <row r="11" spans="1:6" s="1" customFormat="1" ht="13">
      <c r="A11" s="4" t="s">
        <v>45</v>
      </c>
      <c r="B11" s="35"/>
      <c r="C11" s="37">
        <v>975000</v>
      </c>
      <c r="D11" s="37">
        <v>0</v>
      </c>
      <c r="F11" s="6"/>
    </row>
    <row r="12" spans="1:6" s="1" customFormat="1" ht="13">
      <c r="A12" s="35" t="s">
        <v>30</v>
      </c>
      <c r="B12" s="35"/>
      <c r="C12" s="37">
        <v>0</v>
      </c>
      <c r="D12" s="37">
        <v>581900</v>
      </c>
    </row>
    <row r="13" spans="1:6" s="2" customFormat="1" ht="13">
      <c r="A13" s="35" t="s">
        <v>43</v>
      </c>
      <c r="B13" s="35"/>
      <c r="C13" s="37">
        <f>-1813687</f>
        <v>-1813687</v>
      </c>
      <c r="D13" s="37">
        <v>815131</v>
      </c>
    </row>
    <row r="14" spans="1:6" s="1" customFormat="1" ht="13.5" thickBot="1">
      <c r="A14" s="34" t="s">
        <v>32</v>
      </c>
      <c r="B14" s="35"/>
      <c r="C14" s="38">
        <f>SUM(C6:C13)</f>
        <v>-3820925</v>
      </c>
      <c r="D14" s="38">
        <f>SUM(D6:D13)</f>
        <v>-5060036</v>
      </c>
      <c r="F14" s="22"/>
    </row>
    <row r="15" spans="1:6" s="1" customFormat="1" ht="9.75" customHeight="1" thickTop="1">
      <c r="A15" s="34"/>
      <c r="B15" s="35"/>
      <c r="C15" s="39"/>
      <c r="D15" s="39"/>
      <c r="F15" s="22"/>
    </row>
    <row r="16" spans="1:6" s="1" customFormat="1" ht="11.25" customHeight="1">
      <c r="A16" s="40" t="s">
        <v>9</v>
      </c>
      <c r="B16" s="40"/>
      <c r="C16" s="41">
        <f>C6</f>
        <v>-5211238</v>
      </c>
      <c r="D16" s="41">
        <f>D6</f>
        <v>-6457067</v>
      </c>
      <c r="F16" s="22"/>
    </row>
    <row r="17" spans="1:6" s="1" customFormat="1" ht="13.5" customHeight="1">
      <c r="A17" s="40" t="s">
        <v>32</v>
      </c>
      <c r="B17" s="40"/>
      <c r="C17" s="41">
        <f>C14</f>
        <v>-3820925</v>
      </c>
      <c r="D17" s="41">
        <f>D14</f>
        <v>-5060036</v>
      </c>
      <c r="F17" s="22"/>
    </row>
    <row r="18" spans="1:6" s="1" customFormat="1" ht="13.5" customHeight="1">
      <c r="A18" s="35"/>
      <c r="B18" s="35"/>
      <c r="C18" s="42"/>
      <c r="D18" s="42"/>
      <c r="F18" s="22"/>
    </row>
    <row r="19" spans="1:6" s="1" customFormat="1" ht="13">
      <c r="A19" s="35" t="s">
        <v>33</v>
      </c>
      <c r="B19" s="35"/>
      <c r="C19" s="43">
        <f>-664452</f>
        <v>-664452</v>
      </c>
      <c r="D19" s="43">
        <f>-665577</f>
        <v>-665577</v>
      </c>
      <c r="F19" s="22"/>
    </row>
    <row r="20" spans="1:6" s="1" customFormat="1" ht="13.5" thickBot="1">
      <c r="A20" s="45" t="s">
        <v>20</v>
      </c>
      <c r="B20" s="40"/>
      <c r="C20" s="44">
        <f>C6+C19</f>
        <v>-5875690</v>
      </c>
      <c r="D20" s="44">
        <f>D6+D19</f>
        <v>-7122644</v>
      </c>
      <c r="F20" s="22"/>
    </row>
    <row r="21" spans="1:6" s="1" customFormat="1" ht="14" thickTop="1" thickBot="1">
      <c r="A21" s="45" t="s">
        <v>24</v>
      </c>
      <c r="B21" s="40"/>
      <c r="C21" s="44">
        <f>C17+C19</f>
        <v>-4485377</v>
      </c>
      <c r="D21" s="44">
        <f>D17+D19</f>
        <v>-5725613</v>
      </c>
      <c r="F21" s="22"/>
    </row>
    <row r="22" spans="1:6" s="1" customFormat="1" ht="28.5" customHeight="1" thickTop="1" thickBot="1">
      <c r="A22" s="46" t="s">
        <v>23</v>
      </c>
      <c r="B22" s="47"/>
      <c r="C22" s="48">
        <v>32423987</v>
      </c>
      <c r="D22" s="48">
        <v>27665345</v>
      </c>
    </row>
    <row r="23" spans="1:6" s="1" customFormat="1" ht="14" thickTop="1" thickBot="1">
      <c r="A23" s="50" t="s">
        <v>35</v>
      </c>
      <c r="B23" s="47"/>
      <c r="C23" s="49">
        <f>C20/C22</f>
        <v>-0.1812142966872026</v>
      </c>
      <c r="D23" s="49">
        <f>D20/D22</f>
        <v>-0.25745726286803944</v>
      </c>
    </row>
    <row r="24" spans="1:6" s="1" customFormat="1" ht="15.75" customHeight="1" thickTop="1" thickBot="1">
      <c r="A24" s="50" t="s">
        <v>34</v>
      </c>
      <c r="B24" s="47"/>
      <c r="C24" s="51">
        <f>C21/C22</f>
        <v>-0.13833514675416073</v>
      </c>
      <c r="D24" s="51">
        <f>D21/D22</f>
        <v>-0.20695975416175003</v>
      </c>
    </row>
    <row r="25" spans="1:6" s="1" customFormat="1" ht="13.5" thickTop="1">
      <c r="A25" s="2"/>
      <c r="B25" s="2"/>
      <c r="C25" s="2"/>
      <c r="D25" s="2"/>
    </row>
  </sheetData>
  <mergeCells count="1">
    <mergeCell ref="C4:D4"/>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H29"/>
  <sheetViews>
    <sheetView topLeftCell="A10" workbookViewId="0">
      <selection activeCell="J24" sqref="J24"/>
    </sheetView>
  </sheetViews>
  <sheetFormatPr defaultRowHeight="14.5"/>
  <cols>
    <col min="1" max="1" width="43.90625" customWidth="1"/>
    <col min="2" max="2" width="1.90625" customWidth="1"/>
    <col min="3" max="3" width="12.6328125" customWidth="1"/>
    <col min="4" max="4" width="12.26953125" customWidth="1"/>
    <col min="5" max="5" width="13.81640625" customWidth="1"/>
    <col min="6" max="6" width="11.453125" customWidth="1"/>
    <col min="8" max="8" width="9.36328125" bestFit="1" customWidth="1"/>
  </cols>
  <sheetData>
    <row r="1" spans="1:6" ht="18.5">
      <c r="A1" s="77" t="s">
        <v>17</v>
      </c>
      <c r="B1" s="13"/>
      <c r="C1" s="13"/>
      <c r="D1" s="13"/>
      <c r="E1" s="13"/>
      <c r="F1" s="13"/>
    </row>
    <row r="2" spans="1:6" ht="18.5">
      <c r="A2" s="77" t="s">
        <v>36</v>
      </c>
      <c r="B2" s="13"/>
      <c r="C2" s="13"/>
      <c r="D2" s="13"/>
      <c r="E2" s="13"/>
      <c r="F2" s="13"/>
    </row>
    <row r="3" spans="1:6" ht="54.5" customHeight="1">
      <c r="A3" s="116" t="s">
        <v>127</v>
      </c>
      <c r="B3" s="112"/>
      <c r="C3" s="112"/>
      <c r="D3" s="112"/>
      <c r="E3" s="112"/>
      <c r="F3" s="13"/>
    </row>
    <row r="4" spans="1:6">
      <c r="A4" s="12"/>
      <c r="B4" s="12"/>
      <c r="C4" s="118" t="s">
        <v>26</v>
      </c>
      <c r="D4" s="118"/>
      <c r="E4" s="115" t="s">
        <v>25</v>
      </c>
      <c r="F4" s="119"/>
    </row>
    <row r="5" spans="1:6">
      <c r="A5" s="12"/>
      <c r="B5" s="12"/>
      <c r="C5" s="24">
        <v>41455</v>
      </c>
      <c r="D5" s="24">
        <v>41090</v>
      </c>
      <c r="E5" s="24">
        <v>41455</v>
      </c>
      <c r="F5" s="24">
        <v>41090</v>
      </c>
    </row>
    <row r="6" spans="1:6">
      <c r="A6" s="5" t="s">
        <v>104</v>
      </c>
      <c r="B6" s="4"/>
      <c r="C6" s="9">
        <f>'NetInc_Loss qtrly'!C6</f>
        <v>1677168</v>
      </c>
      <c r="D6" s="9">
        <f>-2772605</f>
        <v>-2772605</v>
      </c>
      <c r="E6" s="9">
        <f>SUM('NetInc_Loss qtrly'!C6:F6)</f>
        <v>854123</v>
      </c>
      <c r="F6" s="9">
        <f>SUM('NetInc_Loss qtrly'!G6:J6)</f>
        <v>-5211238</v>
      </c>
    </row>
    <row r="7" spans="1:6">
      <c r="A7" s="4" t="s">
        <v>21</v>
      </c>
      <c r="B7" s="4"/>
      <c r="C7" s="6"/>
      <c r="D7" s="6"/>
      <c r="E7" s="6">
        <f>SUM('NetInc_Loss qtrly'!C7:F7)</f>
        <v>0</v>
      </c>
      <c r="F7" s="6">
        <f>SUM('NetInc_Loss qtrly'!G7:J7)</f>
        <v>0</v>
      </c>
    </row>
    <row r="8" spans="1:6">
      <c r="A8" s="4" t="s">
        <v>28</v>
      </c>
      <c r="B8" s="4"/>
      <c r="C8" s="6"/>
      <c r="D8" s="6"/>
      <c r="E8" s="6">
        <f>SUM('NetInc_Loss qtrly'!C8:F8)</f>
        <v>0</v>
      </c>
      <c r="F8" s="6">
        <f>SUM('NetInc_Loss qtrly'!G8:J8)</f>
        <v>0</v>
      </c>
    </row>
    <row r="9" spans="1:6">
      <c r="A9" s="4" t="s">
        <v>29</v>
      </c>
      <c r="B9" s="4"/>
      <c r="C9" s="6"/>
      <c r="D9" s="6"/>
      <c r="E9" s="6">
        <f>SUM('NetInc_Loss qtrly'!C9:F9)</f>
        <v>0</v>
      </c>
      <c r="F9" s="6">
        <f>SUM('NetInc_Loss qtrly'!G9:J9)</f>
        <v>0</v>
      </c>
    </row>
    <row r="10" spans="1:6">
      <c r="A10" s="4" t="s">
        <v>27</v>
      </c>
      <c r="B10" s="4"/>
      <c r="C10" s="6"/>
      <c r="D10" s="6">
        <v>2229000</v>
      </c>
      <c r="E10" s="6">
        <f>SUM('NetInc_Loss qtrly'!C10:F10)</f>
        <v>328000</v>
      </c>
      <c r="F10" s="6">
        <f>SUM('NetInc_Loss qtrly'!G10:J10)</f>
        <v>2229000</v>
      </c>
    </row>
    <row r="11" spans="1:6">
      <c r="A11" s="4" t="s">
        <v>44</v>
      </c>
      <c r="B11" s="4"/>
      <c r="C11" s="6"/>
      <c r="D11" s="6"/>
      <c r="E11" s="6">
        <f>SUM('NetInc_Loss qtrly'!C11:F11)</f>
        <v>0</v>
      </c>
      <c r="F11" s="6">
        <f>SUM('NetInc_Loss qtrly'!G11:J11)</f>
        <v>975000</v>
      </c>
    </row>
    <row r="12" spans="1:6">
      <c r="A12" s="4" t="s">
        <v>30</v>
      </c>
      <c r="B12" s="4"/>
      <c r="C12" s="6"/>
      <c r="D12" s="6"/>
      <c r="E12" s="6">
        <f>SUM('NetInc_Loss qtrly'!C12:F12)</f>
        <v>0</v>
      </c>
      <c r="F12" s="6">
        <f>SUM('NetInc_Loss qtrly'!G12:J12)</f>
        <v>0</v>
      </c>
    </row>
    <row r="13" spans="1:6">
      <c r="A13" s="4" t="s">
        <v>43</v>
      </c>
      <c r="B13" s="4"/>
      <c r="C13" s="6">
        <f>'NetInc_Loss qtrly'!C13</f>
        <v>-1517384</v>
      </c>
      <c r="D13" s="6">
        <v>169755</v>
      </c>
      <c r="E13" s="6">
        <f>SUM('NetInc_Loss qtrly'!C13:F13)</f>
        <v>-267928</v>
      </c>
      <c r="F13" s="6">
        <f>SUM('NetInc_Loss qtrly'!G13:J13)</f>
        <v>-1813687</v>
      </c>
    </row>
    <row r="14" spans="1:6" ht="15" thickBot="1">
      <c r="A14" s="5" t="s">
        <v>109</v>
      </c>
      <c r="B14" s="4"/>
      <c r="C14" s="3">
        <f>SUM(C6:C13)</f>
        <v>159784</v>
      </c>
      <c r="D14" s="3">
        <f>SUM(D6:D13)</f>
        <v>-373850</v>
      </c>
      <c r="E14" s="3">
        <f>SUM(E6:E13)</f>
        <v>914195</v>
      </c>
      <c r="F14" s="3">
        <f>SUM(F6:F13)</f>
        <v>-3820925</v>
      </c>
    </row>
    <row r="15" spans="1:6" ht="15" thickTop="1">
      <c r="A15" s="5"/>
      <c r="B15" s="4"/>
      <c r="C15" s="100"/>
      <c r="D15" s="27"/>
      <c r="E15" s="4"/>
      <c r="F15" s="4"/>
    </row>
    <row r="16" spans="1:6">
      <c r="A16" s="4" t="s">
        <v>104</v>
      </c>
      <c r="B16" s="4"/>
      <c r="C16" s="27">
        <f>C6</f>
        <v>1677168</v>
      </c>
      <c r="D16" s="27">
        <f t="shared" ref="D16" si="0">D6</f>
        <v>-2772605</v>
      </c>
      <c r="E16" s="27">
        <f>E6</f>
        <v>854123</v>
      </c>
      <c r="F16" s="27">
        <f>F6</f>
        <v>-5211238</v>
      </c>
    </row>
    <row r="17" spans="1:8">
      <c r="A17" s="4" t="s">
        <v>109</v>
      </c>
      <c r="B17" s="4"/>
      <c r="C17" s="27">
        <f>C14</f>
        <v>159784</v>
      </c>
      <c r="D17" s="27">
        <f t="shared" ref="D17" si="1">D14</f>
        <v>-373850</v>
      </c>
      <c r="E17" s="27">
        <f>E14</f>
        <v>914195</v>
      </c>
      <c r="F17" s="27">
        <f>F14</f>
        <v>-3820925</v>
      </c>
    </row>
    <row r="18" spans="1:8">
      <c r="A18" s="4"/>
      <c r="B18" s="4"/>
      <c r="C18" s="27"/>
      <c r="D18" s="27"/>
      <c r="E18" s="27"/>
      <c r="F18" s="27"/>
    </row>
    <row r="19" spans="1:8">
      <c r="A19" s="4" t="s">
        <v>33</v>
      </c>
      <c r="B19" s="4"/>
      <c r="C19" s="60"/>
      <c r="D19" s="60">
        <v>0</v>
      </c>
      <c r="E19" s="60">
        <f>SUM('NetInc_Loss qtrly'!C19:F19)</f>
        <v>-664452</v>
      </c>
      <c r="F19" s="60">
        <f>SUM('NetInc_Loss qtrly'!G19:J19)</f>
        <v>-664452</v>
      </c>
    </row>
    <row r="20" spans="1:8" ht="15" thickBot="1">
      <c r="A20" s="5" t="s">
        <v>119</v>
      </c>
      <c r="B20" s="4"/>
      <c r="C20" s="93">
        <f>C6+C19</f>
        <v>1677168</v>
      </c>
      <c r="D20" s="94">
        <f t="shared" ref="D20" si="2">D16+D19</f>
        <v>-2772605</v>
      </c>
      <c r="E20" s="94">
        <f>E6+E19</f>
        <v>189671</v>
      </c>
      <c r="F20" s="93">
        <f>F6+F19</f>
        <v>-5875690</v>
      </c>
    </row>
    <row r="21" spans="1:8" ht="21" customHeight="1" thickTop="1" thickBot="1">
      <c r="A21" s="5" t="s">
        <v>120</v>
      </c>
      <c r="B21" s="4"/>
      <c r="C21" s="94">
        <f>C17+C19</f>
        <v>159784</v>
      </c>
      <c r="D21" s="94">
        <f t="shared" ref="D21" si="3">D17+D19</f>
        <v>-373850</v>
      </c>
      <c r="E21" s="94">
        <f>E17+E19</f>
        <v>249743</v>
      </c>
      <c r="F21" s="94">
        <f>F17+F19</f>
        <v>-4485377</v>
      </c>
    </row>
    <row r="22" spans="1:8" s="99" customFormat="1" ht="32.5" customHeight="1" thickTop="1" thickBot="1">
      <c r="A22" s="16" t="s">
        <v>132</v>
      </c>
      <c r="B22" s="4"/>
      <c r="C22" s="19">
        <f>'NetInc_Loss qtrly'!C22</f>
        <v>33080641</v>
      </c>
      <c r="D22" s="19">
        <f>'NetInc_Loss qtrly'!G22</f>
        <v>32496327</v>
      </c>
      <c r="E22" s="19">
        <v>32787673</v>
      </c>
      <c r="F22" s="19">
        <v>32423987</v>
      </c>
    </row>
    <row r="23" spans="1:8" ht="27.5" thickTop="1" thickBot="1">
      <c r="A23" s="16" t="s">
        <v>113</v>
      </c>
      <c r="B23" s="13"/>
      <c r="C23" s="19">
        <f>'NetInc_Loss qtrly'!C23</f>
        <v>34115444</v>
      </c>
      <c r="D23" s="19">
        <v>32496327</v>
      </c>
      <c r="E23" s="19">
        <v>33613346</v>
      </c>
      <c r="F23" s="19">
        <v>32423987</v>
      </c>
      <c r="H23" s="108"/>
    </row>
    <row r="24" spans="1:8" ht="20" customHeight="1" thickTop="1" thickBot="1">
      <c r="A24" s="17" t="s">
        <v>122</v>
      </c>
      <c r="B24" s="13"/>
      <c r="C24" s="92">
        <f>IF(C16&gt;0,(C20/C23),C20/C22)</f>
        <v>4.9161546893541824E-2</v>
      </c>
      <c r="D24" s="92">
        <f>IF(D16&gt;0,(D20/D23),D20/D22)</f>
        <v>-8.5320565613461491E-2</v>
      </c>
      <c r="E24" s="92">
        <f>IF(E16&gt;0,(E20/E23),E20/E22)</f>
        <v>5.6427289327280897E-3</v>
      </c>
      <c r="F24" s="92">
        <f>IF(F16&gt;0,(F20/F23),F20/F22)</f>
        <v>-0.1812142966872026</v>
      </c>
      <c r="G24" s="66"/>
    </row>
    <row r="25" spans="1:8" ht="26.5" customHeight="1" thickTop="1" thickBot="1">
      <c r="A25" s="17" t="s">
        <v>123</v>
      </c>
      <c r="B25" s="13"/>
      <c r="C25" s="92">
        <f>IF(C17&gt;=0,(C21/C23),C21/C22)</f>
        <v>4.6836265710040294E-3</v>
      </c>
      <c r="D25" s="92">
        <f>IF(D17&gt;=0,(D21/D23),D21/D22)</f>
        <v>-1.1504377094679039E-2</v>
      </c>
      <c r="E25" s="92">
        <f>IF(E17&gt;=0,(E21/E23),E21/E22)</f>
        <v>7.4298762164290337E-3</v>
      </c>
      <c r="F25" s="92">
        <f>IF(F17&gt;=0,(F21/F23),F21/F22)</f>
        <v>-0.13833514675416073</v>
      </c>
      <c r="G25" s="66"/>
    </row>
    <row r="26" spans="1:8" ht="15" thickTop="1">
      <c r="A26" s="13"/>
      <c r="B26" s="13"/>
      <c r="C26" s="13"/>
      <c r="D26" s="13"/>
      <c r="E26" s="13"/>
      <c r="F26" s="13"/>
    </row>
    <row r="27" spans="1:8">
      <c r="D27" s="99"/>
    </row>
    <row r="28" spans="1:8">
      <c r="D28" s="99"/>
    </row>
    <row r="29" spans="1:8">
      <c r="D29" s="99"/>
    </row>
  </sheetData>
  <mergeCells count="3">
    <mergeCell ref="A3:E3"/>
    <mergeCell ref="C4:D4"/>
    <mergeCell ref="E4:F4"/>
  </mergeCells>
  <pageMargins left="0.7" right="0.7" top="0.75" bottom="0.75" header="0.3" footer="0.3"/>
  <pageSetup scale="94" orientation="portrait" r:id="rId1"/>
  <ignoredErrors>
    <ignoredError sqref="E10:F10 F12" formulaRange="1"/>
  </ignoredErrors>
</worksheet>
</file>

<file path=xl/worksheets/sheet6.xml><?xml version="1.0" encoding="utf-8"?>
<worksheet xmlns="http://schemas.openxmlformats.org/spreadsheetml/2006/main" xmlns:r="http://schemas.openxmlformats.org/officeDocument/2006/relationships">
  <dimension ref="A1:J23"/>
  <sheetViews>
    <sheetView workbookViewId="0">
      <selection activeCell="C4" sqref="C4:D5"/>
    </sheetView>
  </sheetViews>
  <sheetFormatPr defaultRowHeight="14.5"/>
  <cols>
    <col min="1" max="1" width="46.54296875" customWidth="1"/>
    <col min="2" max="2" width="3.81640625" customWidth="1"/>
    <col min="3" max="3" width="11.81640625" customWidth="1"/>
    <col min="4" max="4" width="11.453125" customWidth="1"/>
    <col min="7" max="7" width="9.1796875" customWidth="1"/>
  </cols>
  <sheetData>
    <row r="1" spans="1:10" ht="18.5">
      <c r="A1" s="77" t="s">
        <v>36</v>
      </c>
      <c r="B1" s="13"/>
      <c r="C1" s="13"/>
      <c r="D1" s="13"/>
      <c r="E1" s="13"/>
    </row>
    <row r="2" spans="1:10" ht="57" customHeight="1">
      <c r="A2" s="116" t="s">
        <v>127</v>
      </c>
      <c r="B2" s="112"/>
      <c r="C2" s="112"/>
      <c r="D2" s="112"/>
      <c r="E2" s="112"/>
      <c r="F2" s="95"/>
      <c r="G2" s="95"/>
      <c r="H2" s="95"/>
      <c r="I2" s="95"/>
      <c r="J2" s="95"/>
    </row>
    <row r="3" spans="1:10">
      <c r="A3" s="13"/>
      <c r="B3" s="13"/>
      <c r="C3" s="13"/>
      <c r="D3" s="13"/>
      <c r="E3" s="13"/>
    </row>
    <row r="4" spans="1:10">
      <c r="A4" s="12"/>
      <c r="B4" s="12"/>
      <c r="C4" s="118" t="s">
        <v>26</v>
      </c>
      <c r="D4" s="118"/>
      <c r="E4" s="13"/>
    </row>
    <row r="5" spans="1:10" ht="18.75" customHeight="1">
      <c r="A5" s="23"/>
      <c r="B5" s="23"/>
      <c r="C5" s="24">
        <v>41364</v>
      </c>
      <c r="D5" s="24">
        <v>40999</v>
      </c>
      <c r="E5" s="13"/>
    </row>
    <row r="6" spans="1:10">
      <c r="A6" s="5" t="s">
        <v>104</v>
      </c>
      <c r="B6" s="4"/>
      <c r="C6" s="9">
        <f>-1015943</f>
        <v>-1015943</v>
      </c>
      <c r="D6" s="9">
        <f>-538618</f>
        <v>-538618</v>
      </c>
      <c r="E6" s="13"/>
    </row>
    <row r="7" spans="1:10">
      <c r="A7" s="4" t="s">
        <v>21</v>
      </c>
      <c r="B7" s="4"/>
      <c r="C7" s="6"/>
      <c r="D7" s="6"/>
      <c r="E7" s="13"/>
    </row>
    <row r="8" spans="1:10" hidden="1">
      <c r="A8" s="4" t="s">
        <v>28</v>
      </c>
      <c r="B8" s="4"/>
      <c r="C8" s="6"/>
      <c r="D8" s="6"/>
      <c r="E8" s="13"/>
    </row>
    <row r="9" spans="1:10" hidden="1">
      <c r="A9" s="4" t="s">
        <v>29</v>
      </c>
      <c r="B9" s="4"/>
      <c r="C9" s="6"/>
      <c r="D9" s="6"/>
      <c r="E9" s="13"/>
    </row>
    <row r="10" spans="1:10" hidden="1">
      <c r="A10" s="4" t="s">
        <v>44</v>
      </c>
      <c r="B10" s="4"/>
      <c r="C10" s="6"/>
      <c r="D10" s="6"/>
      <c r="E10" s="13"/>
    </row>
    <row r="11" spans="1:10">
      <c r="A11" s="4" t="s">
        <v>43</v>
      </c>
      <c r="B11" s="4"/>
      <c r="C11" s="6">
        <v>1308954</v>
      </c>
      <c r="D11" s="6">
        <f>-95074</f>
        <v>-95074</v>
      </c>
      <c r="E11" s="13"/>
    </row>
    <row r="12" spans="1:10" ht="15" thickBot="1">
      <c r="A12" s="5" t="s">
        <v>109</v>
      </c>
      <c r="B12" s="4"/>
      <c r="C12" s="59">
        <f>SUM(C6:C11)</f>
        <v>293011</v>
      </c>
      <c r="D12" s="59">
        <f>SUM(D6:D11)</f>
        <v>-633692</v>
      </c>
      <c r="E12" s="13"/>
    </row>
    <row r="13" spans="1:10" ht="15" thickTop="1">
      <c r="A13" s="5"/>
      <c r="B13" s="4"/>
      <c r="C13" s="27"/>
      <c r="D13" s="27"/>
      <c r="E13" s="13"/>
    </row>
    <row r="14" spans="1:10">
      <c r="A14" s="28" t="s">
        <v>104</v>
      </c>
      <c r="B14" s="28"/>
      <c r="C14" s="29">
        <f>C6</f>
        <v>-1015943</v>
      </c>
      <c r="D14" s="29">
        <f>D6</f>
        <v>-538618</v>
      </c>
      <c r="E14" s="13"/>
    </row>
    <row r="15" spans="1:10">
      <c r="A15" s="28" t="s">
        <v>109</v>
      </c>
      <c r="B15" s="28"/>
      <c r="C15" s="29">
        <f>C12</f>
        <v>293011</v>
      </c>
      <c r="D15" s="29">
        <f>D12</f>
        <v>-633692</v>
      </c>
      <c r="E15" s="13"/>
    </row>
    <row r="16" spans="1:10">
      <c r="A16" s="4"/>
      <c r="B16" s="4"/>
      <c r="C16" s="27"/>
      <c r="D16" s="27"/>
      <c r="E16" s="13"/>
    </row>
    <row r="17" spans="1:5">
      <c r="A17" s="4" t="s">
        <v>33</v>
      </c>
      <c r="B17" s="4"/>
      <c r="C17" s="60">
        <f>-332226</f>
        <v>-332226</v>
      </c>
      <c r="D17" s="60">
        <f>-332226</f>
        <v>-332226</v>
      </c>
      <c r="E17" s="13"/>
    </row>
    <row r="18" spans="1:5" ht="15" thickBot="1">
      <c r="A18" s="5" t="s">
        <v>119</v>
      </c>
      <c r="B18" s="4"/>
      <c r="C18" s="61">
        <f>C6+C17</f>
        <v>-1348169</v>
      </c>
      <c r="D18" s="61">
        <f>D6+D17</f>
        <v>-870844</v>
      </c>
      <c r="E18" s="13"/>
    </row>
    <row r="19" spans="1:5" ht="15.5" thickTop="1" thickBot="1">
      <c r="A19" s="5" t="s">
        <v>120</v>
      </c>
      <c r="B19" s="4"/>
      <c r="C19" s="52">
        <f>C15+C17</f>
        <v>-39215</v>
      </c>
      <c r="D19" s="52">
        <f>D15+D17</f>
        <v>-965918</v>
      </c>
      <c r="E19" s="13"/>
    </row>
    <row r="20" spans="1:5" ht="27.5" thickTop="1" thickBot="1">
      <c r="A20" s="16" t="s">
        <v>113</v>
      </c>
      <c r="B20" s="2"/>
      <c r="C20" s="19">
        <v>32821345</v>
      </c>
      <c r="D20" s="19">
        <v>32466528</v>
      </c>
      <c r="E20" s="13"/>
    </row>
    <row r="21" spans="1:5" ht="15.5" thickTop="1" thickBot="1">
      <c r="A21" s="17" t="s">
        <v>122</v>
      </c>
      <c r="B21" s="2"/>
      <c r="C21" s="20">
        <f>C18/C20</f>
        <v>-4.1075982717953818E-2</v>
      </c>
      <c r="D21" s="20">
        <f>D18/D20</f>
        <v>-2.6822825033831765E-2</v>
      </c>
      <c r="E21" s="13"/>
    </row>
    <row r="22" spans="1:5" ht="19.5" customHeight="1" thickTop="1" thickBot="1">
      <c r="A22" s="17" t="s">
        <v>123</v>
      </c>
      <c r="B22" s="2"/>
      <c r="C22" s="98">
        <f>C19/C20</f>
        <v>-1.1948017364919079E-3</v>
      </c>
      <c r="D22" s="21">
        <f>D19/D20</f>
        <v>-2.9751194830565191E-2</v>
      </c>
      <c r="E22" s="13"/>
    </row>
    <row r="23" spans="1:5" ht="15" thickTop="1">
      <c r="A23" s="2"/>
      <c r="B23" s="13"/>
      <c r="C23" s="13"/>
      <c r="D23" s="13"/>
      <c r="E23" s="13"/>
    </row>
  </sheetData>
  <mergeCells count="2">
    <mergeCell ref="C4:D4"/>
    <mergeCell ref="A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rgb="FF92D050"/>
    <pageSetUpPr fitToPage="1"/>
  </sheetPr>
  <dimension ref="A1:R24"/>
  <sheetViews>
    <sheetView workbookViewId="0">
      <selection activeCell="D20" sqref="D20"/>
    </sheetView>
  </sheetViews>
  <sheetFormatPr defaultRowHeight="14.5"/>
  <cols>
    <col min="1" max="1" width="28.7265625" customWidth="1"/>
    <col min="2" max="2" width="1.81640625" customWidth="1"/>
    <col min="3" max="3" width="13.453125" style="99" customWidth="1"/>
    <col min="4" max="7" width="13.453125" customWidth="1"/>
    <col min="8" max="8" width="14.7265625" customWidth="1"/>
    <col min="9" max="9" width="12.26953125" customWidth="1"/>
    <col min="10" max="10" width="11.7265625" customWidth="1"/>
    <col min="11" max="11" width="12" customWidth="1"/>
    <col min="12" max="14" width="11.54296875" customWidth="1"/>
    <col min="15" max="15" width="3.26953125" customWidth="1"/>
    <col min="16" max="16" width="12.7265625" style="99" customWidth="1"/>
    <col min="17" max="18" width="12.7265625" customWidth="1"/>
    <col min="19" max="19" width="5.26953125" customWidth="1"/>
  </cols>
  <sheetData>
    <row r="1" spans="1:18" ht="18.5">
      <c r="A1" s="14" t="s">
        <v>17</v>
      </c>
    </row>
    <row r="2" spans="1:18" ht="18.5">
      <c r="A2" s="14" t="s">
        <v>36</v>
      </c>
      <c r="B2" s="13"/>
      <c r="C2" s="13"/>
      <c r="D2" s="13"/>
      <c r="E2" s="13"/>
      <c r="F2" s="13"/>
      <c r="G2" s="13"/>
    </row>
    <row r="3" spans="1:18" ht="15.5">
      <c r="A3" s="120" t="s">
        <v>107</v>
      </c>
      <c r="B3" s="121"/>
      <c r="C3" s="121"/>
      <c r="D3" s="121"/>
      <c r="E3" s="121"/>
      <c r="F3" s="121"/>
      <c r="G3" s="121"/>
      <c r="H3" s="121"/>
    </row>
    <row r="4" spans="1:18" ht="9" customHeight="1">
      <c r="A4" s="12"/>
      <c r="B4" s="12"/>
      <c r="C4" s="12"/>
      <c r="D4" s="12"/>
      <c r="E4" s="12"/>
      <c r="F4" s="12"/>
      <c r="G4" s="115"/>
      <c r="H4" s="115"/>
    </row>
    <row r="5" spans="1:18" s="1" customFormat="1" ht="25.5" customHeight="1">
      <c r="A5" s="10"/>
      <c r="B5" s="10"/>
      <c r="C5" s="10" t="s">
        <v>129</v>
      </c>
      <c r="D5" s="10" t="s">
        <v>128</v>
      </c>
      <c r="E5" s="10" t="s">
        <v>108</v>
      </c>
      <c r="F5" s="10" t="s">
        <v>103</v>
      </c>
      <c r="G5" s="10" t="s">
        <v>19</v>
      </c>
      <c r="H5" s="10" t="s">
        <v>18</v>
      </c>
      <c r="I5" s="10" t="s">
        <v>15</v>
      </c>
      <c r="J5" s="10" t="s">
        <v>14</v>
      </c>
      <c r="K5" s="10" t="s">
        <v>13</v>
      </c>
      <c r="L5" s="10" t="s">
        <v>12</v>
      </c>
      <c r="M5" s="10" t="s">
        <v>11</v>
      </c>
      <c r="N5" s="10" t="s">
        <v>10</v>
      </c>
      <c r="P5" s="10" t="s">
        <v>131</v>
      </c>
      <c r="Q5" s="10" t="s">
        <v>41</v>
      </c>
      <c r="R5" s="10" t="s">
        <v>42</v>
      </c>
    </row>
    <row r="6" spans="1:18" s="2" customFormat="1" ht="13">
      <c r="A6" s="5" t="s">
        <v>110</v>
      </c>
      <c r="B6" s="4"/>
      <c r="C6" s="27">
        <v>210287</v>
      </c>
      <c r="D6" s="27">
        <v>350219</v>
      </c>
      <c r="E6" s="27">
        <v>567650</v>
      </c>
      <c r="F6" s="27">
        <f>-414232</f>
        <v>-414232</v>
      </c>
      <c r="G6" s="27">
        <f>-2603891</f>
        <v>-2603891</v>
      </c>
      <c r="H6" s="27">
        <f>-637201</f>
        <v>-637201</v>
      </c>
      <c r="I6" s="27">
        <f>-1937034</f>
        <v>-1937034</v>
      </c>
      <c r="J6" s="27">
        <f>-1822266</f>
        <v>-1822266</v>
      </c>
      <c r="K6" s="27">
        <f>-1980653</f>
        <v>-1980653</v>
      </c>
      <c r="L6" s="27">
        <f>-1667669</f>
        <v>-1667669</v>
      </c>
      <c r="M6" s="27">
        <f>-140623</f>
        <v>-140623</v>
      </c>
      <c r="N6" s="27">
        <f>-1899272</f>
        <v>-1899272</v>
      </c>
      <c r="P6" s="57">
        <f>SUM(C6:F6)</f>
        <v>713924</v>
      </c>
      <c r="Q6" s="57">
        <f>SUM(G6:J6)</f>
        <v>-7000392</v>
      </c>
      <c r="R6" s="57">
        <f>SUM(K6:N6)</f>
        <v>-5688217</v>
      </c>
    </row>
    <row r="7" spans="1:18" s="2" customFormat="1" ht="5.25" customHeight="1">
      <c r="A7" s="54"/>
      <c r="B7" s="23"/>
      <c r="C7" s="53"/>
      <c r="D7" s="53"/>
      <c r="E7" s="53"/>
      <c r="F7" s="53"/>
      <c r="G7" s="53"/>
      <c r="H7" s="53"/>
      <c r="I7" s="53"/>
      <c r="J7" s="53"/>
      <c r="K7" s="53"/>
      <c r="L7" s="53"/>
      <c r="M7" s="53"/>
      <c r="N7" s="53"/>
      <c r="P7" s="57">
        <f t="shared" ref="P7:P13" si="0">SUM(C7:F7)</f>
        <v>0</v>
      </c>
      <c r="Q7" s="58">
        <f t="shared" ref="Q7:Q16" si="1">SUM(G7:J7)</f>
        <v>0</v>
      </c>
      <c r="R7" s="58">
        <f t="shared" ref="R7:R16" si="2">SUM(K7:N7)</f>
        <v>0</v>
      </c>
    </row>
    <row r="8" spans="1:18" s="1" customFormat="1" ht="13">
      <c r="A8" s="4" t="s">
        <v>21</v>
      </c>
      <c r="B8" s="4"/>
      <c r="C8" s="6"/>
      <c r="D8" s="6"/>
      <c r="E8" s="6"/>
      <c r="F8" s="6"/>
      <c r="G8" s="6"/>
      <c r="H8" s="6"/>
      <c r="I8" s="6"/>
      <c r="J8" s="6"/>
      <c r="K8" s="6"/>
      <c r="L8" s="6"/>
      <c r="M8" s="6"/>
      <c r="N8" s="6"/>
      <c r="P8" s="58"/>
      <c r="Q8" s="58"/>
      <c r="R8" s="58"/>
    </row>
    <row r="9" spans="1:18" s="1" customFormat="1" ht="13">
      <c r="A9" s="4" t="s">
        <v>28</v>
      </c>
      <c r="B9" s="4"/>
      <c r="C9" s="6"/>
      <c r="D9" s="6"/>
      <c r="E9" s="6"/>
      <c r="F9" s="6"/>
      <c r="G9" s="6"/>
      <c r="H9" s="6"/>
      <c r="I9" s="6"/>
      <c r="J9" s="6"/>
      <c r="K9" s="6"/>
      <c r="L9" s="6"/>
      <c r="M9" s="6"/>
      <c r="N9" s="6"/>
      <c r="P9" s="58"/>
      <c r="Q9" s="58"/>
      <c r="R9" s="58"/>
    </row>
    <row r="10" spans="1:18" s="1" customFormat="1" ht="13">
      <c r="A10" s="35" t="s">
        <v>29</v>
      </c>
      <c r="B10" s="4"/>
      <c r="C10" s="6"/>
      <c r="D10" s="6"/>
      <c r="E10" s="6"/>
      <c r="F10" s="6"/>
      <c r="G10" s="6"/>
      <c r="H10" s="6"/>
      <c r="I10" s="6"/>
      <c r="J10" s="6"/>
      <c r="K10" s="6"/>
      <c r="L10" s="6"/>
      <c r="M10" s="6"/>
      <c r="N10" s="6"/>
      <c r="P10" s="58"/>
      <c r="Q10" s="58"/>
      <c r="R10" s="58"/>
    </row>
    <row r="11" spans="1:18" s="1" customFormat="1" ht="13">
      <c r="A11" s="4" t="s">
        <v>27</v>
      </c>
      <c r="B11" s="4"/>
      <c r="C11" s="6"/>
      <c r="D11" s="6"/>
      <c r="E11" s="6"/>
      <c r="F11" s="6">
        <v>328000</v>
      </c>
      <c r="G11" s="6">
        <v>2229000</v>
      </c>
      <c r="H11" s="6"/>
      <c r="I11" s="6"/>
      <c r="J11" s="6"/>
      <c r="K11" s="6"/>
      <c r="L11" s="6"/>
      <c r="M11" s="6"/>
      <c r="N11" s="6"/>
      <c r="P11" s="57">
        <f t="shared" si="0"/>
        <v>328000</v>
      </c>
      <c r="Q11" s="58">
        <f t="shared" si="1"/>
        <v>2229000</v>
      </c>
      <c r="R11" s="58">
        <f t="shared" si="2"/>
        <v>0</v>
      </c>
    </row>
    <row r="12" spans="1:18" s="1" customFormat="1" ht="13">
      <c r="A12" s="4" t="s">
        <v>44</v>
      </c>
      <c r="B12" s="4"/>
      <c r="C12" s="6"/>
      <c r="D12" s="6"/>
      <c r="E12" s="6"/>
      <c r="F12" s="6"/>
      <c r="G12" s="6"/>
      <c r="H12" s="6"/>
      <c r="I12" s="6">
        <v>975000</v>
      </c>
      <c r="J12" s="6"/>
      <c r="K12" s="6"/>
      <c r="L12" s="6"/>
      <c r="M12" s="6"/>
      <c r="N12" s="6"/>
      <c r="P12" s="58">
        <f t="shared" si="0"/>
        <v>0</v>
      </c>
      <c r="Q12" s="58">
        <f t="shared" si="1"/>
        <v>975000</v>
      </c>
      <c r="R12" s="58">
        <f t="shared" si="2"/>
        <v>0</v>
      </c>
    </row>
    <row r="13" spans="1:18" s="2" customFormat="1" ht="13">
      <c r="A13" s="4" t="s">
        <v>30</v>
      </c>
      <c r="B13" s="4"/>
      <c r="C13" s="6"/>
      <c r="D13" s="6"/>
      <c r="E13" s="6"/>
      <c r="F13" s="6"/>
      <c r="G13" s="6"/>
      <c r="H13" s="6"/>
      <c r="I13" s="6"/>
      <c r="J13" s="6"/>
      <c r="K13" s="6">
        <v>581900</v>
      </c>
      <c r="L13" s="6"/>
      <c r="M13" s="6"/>
      <c r="N13" s="6"/>
      <c r="P13" s="58">
        <f t="shared" si="0"/>
        <v>0</v>
      </c>
      <c r="Q13" s="58">
        <f t="shared" si="1"/>
        <v>0</v>
      </c>
      <c r="R13" s="58">
        <f t="shared" si="2"/>
        <v>581900</v>
      </c>
    </row>
    <row r="14" spans="1:18" s="2" customFormat="1" ht="13">
      <c r="A14" s="5" t="s">
        <v>111</v>
      </c>
      <c r="B14" s="4"/>
      <c r="C14" s="82">
        <f t="shared" ref="C14:D14" si="3">SUM(C6:C13)</f>
        <v>210287</v>
      </c>
      <c r="D14" s="82">
        <f t="shared" si="3"/>
        <v>350219</v>
      </c>
      <c r="E14" s="82">
        <f t="shared" ref="E14:F14" si="4">SUM(E6:E13)</f>
        <v>567650</v>
      </c>
      <c r="F14" s="82">
        <f t="shared" si="4"/>
        <v>-86232</v>
      </c>
      <c r="G14" s="82">
        <f t="shared" ref="G14:N14" si="5">SUM(G6:G13)</f>
        <v>-374891</v>
      </c>
      <c r="H14" s="82">
        <f t="shared" si="5"/>
        <v>-637201</v>
      </c>
      <c r="I14" s="82">
        <f>SUM(I6:I13)</f>
        <v>-962034</v>
      </c>
      <c r="J14" s="82">
        <f t="shared" si="5"/>
        <v>-1822266</v>
      </c>
      <c r="K14" s="82">
        <f t="shared" si="5"/>
        <v>-1398753</v>
      </c>
      <c r="L14" s="82">
        <f t="shared" si="5"/>
        <v>-1667669</v>
      </c>
      <c r="M14" s="82">
        <f t="shared" si="5"/>
        <v>-140623</v>
      </c>
      <c r="N14" s="82">
        <f t="shared" si="5"/>
        <v>-1899272</v>
      </c>
      <c r="P14" s="82">
        <f>SUM(P6:P13)</f>
        <v>1041924</v>
      </c>
      <c r="Q14" s="82">
        <f>SUM(Q6:Q13)</f>
        <v>-3796392</v>
      </c>
      <c r="R14" s="82">
        <f>SUM(R6:R13)</f>
        <v>-5106317</v>
      </c>
    </row>
    <row r="15" spans="1:18" s="2" customFormat="1" ht="8.25" customHeight="1">
      <c r="A15" s="5"/>
      <c r="B15" s="4"/>
      <c r="C15" s="27"/>
      <c r="D15" s="27"/>
      <c r="E15" s="27"/>
      <c r="F15" s="27"/>
      <c r="G15" s="27"/>
      <c r="H15" s="27"/>
      <c r="I15" s="27"/>
      <c r="J15" s="27"/>
      <c r="K15" s="27"/>
      <c r="L15" s="27"/>
      <c r="M15" s="27"/>
      <c r="N15" s="27"/>
      <c r="P15" s="57"/>
      <c r="Q15" s="57"/>
      <c r="R15" s="57"/>
    </row>
    <row r="16" spans="1:18" s="1" customFormat="1" ht="13">
      <c r="A16" s="5" t="s">
        <v>39</v>
      </c>
      <c r="B16" s="4"/>
      <c r="C16" s="29">
        <v>9684842</v>
      </c>
      <c r="D16" s="29">
        <v>8980804</v>
      </c>
      <c r="E16" s="29">
        <v>8884321</v>
      </c>
      <c r="F16" s="29">
        <v>8390277</v>
      </c>
      <c r="G16" s="29">
        <v>7902846</v>
      </c>
      <c r="H16" s="29">
        <v>7527051</v>
      </c>
      <c r="I16" s="29">
        <v>6881598</v>
      </c>
      <c r="J16" s="29">
        <v>6705748</v>
      </c>
      <c r="K16" s="29">
        <v>6888631</v>
      </c>
      <c r="L16" s="29">
        <v>5522977</v>
      </c>
      <c r="M16" s="29">
        <v>6016516</v>
      </c>
      <c r="N16" s="29">
        <v>4440665</v>
      </c>
      <c r="P16" s="29">
        <f>SUM(C16:F16)</f>
        <v>35940244</v>
      </c>
      <c r="Q16" s="29">
        <f t="shared" si="1"/>
        <v>29017243</v>
      </c>
      <c r="R16" s="29">
        <f t="shared" si="2"/>
        <v>22868789</v>
      </c>
    </row>
    <row r="17" spans="1:18" s="1" customFormat="1" ht="7.5" customHeight="1">
      <c r="A17" s="16"/>
      <c r="B17" s="2"/>
      <c r="C17" s="18"/>
      <c r="D17" s="18"/>
      <c r="E17" s="18"/>
      <c r="F17" s="18"/>
      <c r="G17" s="18"/>
      <c r="H17" s="18"/>
      <c r="I17" s="18"/>
      <c r="J17" s="18"/>
      <c r="K17" s="18"/>
      <c r="L17" s="18"/>
      <c r="M17" s="18"/>
      <c r="N17" s="18"/>
      <c r="P17" s="57"/>
      <c r="Q17" s="57"/>
      <c r="R17" s="57"/>
    </row>
    <row r="18" spans="1:18" s="1" customFormat="1" ht="13.5" thickBot="1">
      <c r="A18" s="16" t="s">
        <v>38</v>
      </c>
      <c r="B18" s="2"/>
      <c r="C18" s="55">
        <f t="shared" ref="C18:D18" si="6">C6/C16</f>
        <v>2.1713002648881624E-2</v>
      </c>
      <c r="D18" s="55">
        <f t="shared" si="6"/>
        <v>3.8996397204526453E-2</v>
      </c>
      <c r="E18" s="55">
        <f t="shared" ref="E18:F18" si="7">E6/E16</f>
        <v>6.3893459049937526E-2</v>
      </c>
      <c r="F18" s="55">
        <f t="shared" si="7"/>
        <v>-4.9370479663543888E-2</v>
      </c>
      <c r="G18" s="55">
        <f t="shared" ref="G18:N18" si="8">G6/G16</f>
        <v>-0.32948775668917246</v>
      </c>
      <c r="H18" s="55">
        <f t="shared" si="8"/>
        <v>-8.4654800399253313E-2</v>
      </c>
      <c r="I18" s="55">
        <f>I6/I16</f>
        <v>-0.28148026083476541</v>
      </c>
      <c r="J18" s="55">
        <f t="shared" si="8"/>
        <v>-0.27174686552491983</v>
      </c>
      <c r="K18" s="55">
        <f t="shared" si="8"/>
        <v>-0.28752490879537601</v>
      </c>
      <c r="L18" s="55">
        <f t="shared" si="8"/>
        <v>-0.30195110354433852</v>
      </c>
      <c r="M18" s="55">
        <f t="shared" si="8"/>
        <v>-2.3372829059209684E-2</v>
      </c>
      <c r="N18" s="55">
        <f t="shared" si="8"/>
        <v>-0.42769990530697544</v>
      </c>
      <c r="P18" s="55">
        <f>P6/P16</f>
        <v>1.986419457808912E-2</v>
      </c>
      <c r="Q18" s="55">
        <f>Q6/Q16</f>
        <v>-0.24124938403004034</v>
      </c>
      <c r="R18" s="55">
        <f>R6/R16</f>
        <v>-0.24873275974517059</v>
      </c>
    </row>
    <row r="19" spans="1:18" s="1" customFormat="1" ht="15.75" customHeight="1" thickTop="1" thickBot="1">
      <c r="A19" s="17" t="s">
        <v>40</v>
      </c>
      <c r="B19" s="2"/>
      <c r="C19" s="56">
        <f t="shared" ref="C19:D19" si="9">C14/C16</f>
        <v>2.1713002648881624E-2</v>
      </c>
      <c r="D19" s="56">
        <f t="shared" si="9"/>
        <v>3.8996397204526453E-2</v>
      </c>
      <c r="E19" s="56">
        <f t="shared" ref="E19:F19" si="10">E14/E16</f>
        <v>6.3893459049937526E-2</v>
      </c>
      <c r="F19" s="56">
        <f t="shared" si="10"/>
        <v>-1.0277610620006945E-2</v>
      </c>
      <c r="G19" s="56">
        <f t="shared" ref="G19:N19" si="11">G14/G16</f>
        <v>-4.7437467464252751E-2</v>
      </c>
      <c r="H19" s="56">
        <f t="shared" si="11"/>
        <v>-8.4654800399253313E-2</v>
      </c>
      <c r="I19" s="56">
        <f t="shared" si="11"/>
        <v>-0.13979805271973167</v>
      </c>
      <c r="J19" s="56">
        <f t="shared" si="11"/>
        <v>-0.27174686552491983</v>
      </c>
      <c r="K19" s="56">
        <f t="shared" si="11"/>
        <v>-0.20305239168711461</v>
      </c>
      <c r="L19" s="56">
        <f t="shared" si="11"/>
        <v>-0.30195110354433852</v>
      </c>
      <c r="M19" s="56">
        <f t="shared" si="11"/>
        <v>-2.3372829059209684E-2</v>
      </c>
      <c r="N19" s="56">
        <f t="shared" si="11"/>
        <v>-0.42769990530697544</v>
      </c>
      <c r="P19" s="56">
        <f>P14/P16</f>
        <v>2.899045426625373E-2</v>
      </c>
      <c r="Q19" s="56">
        <f>Q14/Q16</f>
        <v>-0.13083227789766244</v>
      </c>
      <c r="R19" s="56">
        <f>R14/R16</f>
        <v>-0.22328759953139626</v>
      </c>
    </row>
    <row r="20" spans="1:18" s="1" customFormat="1" ht="13.5" thickTop="1">
      <c r="A20" s="2"/>
      <c r="B20" s="2"/>
      <c r="C20" s="2"/>
      <c r="D20" s="2"/>
      <c r="E20" s="2"/>
      <c r="F20" s="2"/>
      <c r="G20" s="2"/>
    </row>
    <row r="22" spans="1:18" hidden="1">
      <c r="A22" s="5" t="s">
        <v>116</v>
      </c>
    </row>
    <row r="23" spans="1:18" hidden="1">
      <c r="A23" s="4" t="s">
        <v>117</v>
      </c>
      <c r="C23" s="65">
        <v>3032531</v>
      </c>
      <c r="D23" s="65">
        <v>3032531</v>
      </c>
      <c r="E23" s="65">
        <v>3032531</v>
      </c>
      <c r="F23" s="65">
        <v>3558512</v>
      </c>
      <c r="G23" s="65">
        <v>5782230</v>
      </c>
      <c r="H23" s="65">
        <v>3432421</v>
      </c>
      <c r="I23" s="65">
        <v>3875490</v>
      </c>
      <c r="J23" s="65">
        <v>3871302</v>
      </c>
      <c r="K23" s="65">
        <v>4332591</v>
      </c>
      <c r="L23" s="65">
        <v>3220801</v>
      </c>
      <c r="M23" s="65">
        <v>2628644</v>
      </c>
      <c r="N23" s="65">
        <v>3254839</v>
      </c>
    </row>
    <row r="24" spans="1:18" hidden="1">
      <c r="A24" s="4" t="s">
        <v>118</v>
      </c>
      <c r="C24" s="65">
        <f t="shared" ref="C24:D24" si="12">C23-SUM(C8:C13)</f>
        <v>3032531</v>
      </c>
      <c r="D24" s="65">
        <f t="shared" si="12"/>
        <v>3032531</v>
      </c>
      <c r="E24" s="65">
        <f t="shared" ref="E24:N24" si="13">E23-SUM(E8:E13)</f>
        <v>3032531</v>
      </c>
      <c r="F24" s="65">
        <f t="shared" si="13"/>
        <v>3230512</v>
      </c>
      <c r="G24" s="65">
        <f t="shared" si="13"/>
        <v>3553230</v>
      </c>
      <c r="H24" s="65">
        <f t="shared" si="13"/>
        <v>3432421</v>
      </c>
      <c r="I24" s="65">
        <f t="shared" si="13"/>
        <v>2900490</v>
      </c>
      <c r="J24" s="65">
        <f t="shared" si="13"/>
        <v>3871302</v>
      </c>
      <c r="K24" s="65">
        <f t="shared" si="13"/>
        <v>3750691</v>
      </c>
      <c r="L24" s="65">
        <f t="shared" si="13"/>
        <v>3220801</v>
      </c>
      <c r="M24" s="65">
        <f t="shared" si="13"/>
        <v>2628644</v>
      </c>
      <c r="N24" s="65">
        <f t="shared" si="13"/>
        <v>3254839</v>
      </c>
    </row>
  </sheetData>
  <mergeCells count="2">
    <mergeCell ref="G4:H4"/>
    <mergeCell ref="A3:H3"/>
  </mergeCells>
  <pageMargins left="0.2" right="0.2" top="0.75" bottom="0.75" header="0.3" footer="0.3"/>
  <pageSetup scale="60" orientation="landscape" r:id="rId1"/>
  <ignoredErrors>
    <ignoredError sqref="Q11 Q13 Q16:R16" formulaRange="1"/>
  </ignoredErrors>
</worksheet>
</file>

<file path=xl/worksheets/sheet8.xml><?xml version="1.0" encoding="utf-8"?>
<worksheet xmlns="http://schemas.openxmlformats.org/spreadsheetml/2006/main" xmlns:r="http://schemas.openxmlformats.org/officeDocument/2006/relationships">
  <sheetPr>
    <tabColor rgb="FF92D050"/>
    <pageSetUpPr fitToPage="1"/>
  </sheetPr>
  <dimension ref="A1:F19"/>
  <sheetViews>
    <sheetView workbookViewId="0">
      <selection activeCell="A20" sqref="A20"/>
    </sheetView>
  </sheetViews>
  <sheetFormatPr defaultRowHeight="14.5"/>
  <cols>
    <col min="1" max="1" width="28.7265625" customWidth="1"/>
    <col min="2" max="2" width="1.81640625" customWidth="1"/>
    <col min="3" max="3" width="13.453125" customWidth="1"/>
    <col min="4" max="4" width="11.7265625" customWidth="1"/>
    <col min="5" max="5" width="11.81640625" customWidth="1"/>
    <col min="6" max="6" width="13.1796875" customWidth="1"/>
  </cols>
  <sheetData>
    <row r="1" spans="1:6" ht="18.5">
      <c r="A1" s="80" t="s">
        <v>36</v>
      </c>
      <c r="B1" s="81"/>
      <c r="C1" s="81"/>
      <c r="D1" s="81"/>
      <c r="E1" s="81"/>
      <c r="F1" s="81"/>
    </row>
    <row r="2" spans="1:6" ht="20.25" customHeight="1">
      <c r="A2" s="120" t="s">
        <v>107</v>
      </c>
      <c r="B2" s="121"/>
      <c r="C2" s="121"/>
      <c r="D2" s="121"/>
      <c r="E2" s="121"/>
      <c r="F2" s="121"/>
    </row>
    <row r="3" spans="1:6" ht="14.25" customHeight="1">
      <c r="A3" s="12"/>
      <c r="B3" s="12"/>
      <c r="C3" s="12"/>
      <c r="D3" s="13"/>
      <c r="E3" s="13"/>
      <c r="F3" s="13"/>
    </row>
    <row r="4" spans="1:6" ht="15" customHeight="1">
      <c r="A4" s="12"/>
      <c r="B4" s="12"/>
      <c r="C4" s="118" t="s">
        <v>26</v>
      </c>
      <c r="D4" s="118"/>
      <c r="E4" s="115" t="s">
        <v>25</v>
      </c>
      <c r="F4" s="119"/>
    </row>
    <row r="5" spans="1:6" s="1" customFormat="1" ht="18.75" customHeight="1">
      <c r="A5" s="53"/>
      <c r="B5" s="53"/>
      <c r="C5" s="84">
        <v>41455</v>
      </c>
      <c r="D5" s="84">
        <v>41090</v>
      </c>
      <c r="E5" s="24">
        <v>41455</v>
      </c>
      <c r="F5" s="24">
        <v>41090</v>
      </c>
    </row>
    <row r="6" spans="1:6" s="2" customFormat="1" ht="13">
      <c r="A6" s="5" t="s">
        <v>110</v>
      </c>
      <c r="B6" s="4"/>
      <c r="C6" s="27">
        <f>'OperMrgn qtrly'!C6</f>
        <v>210287</v>
      </c>
      <c r="D6" s="27">
        <f>-2603891</f>
        <v>-2603891</v>
      </c>
      <c r="E6" s="27">
        <f>SUM('OperMrgn qtrly'!C6:F6)</f>
        <v>713924</v>
      </c>
      <c r="F6" s="27">
        <f>SUM('OperMrgn qtrly'!G6:J6)</f>
        <v>-7000392</v>
      </c>
    </row>
    <row r="7" spans="1:6" s="2" customFormat="1" ht="5.25" customHeight="1">
      <c r="A7" s="54"/>
      <c r="B7" s="23"/>
      <c r="C7" s="53"/>
      <c r="D7" s="53"/>
      <c r="E7" s="27"/>
      <c r="F7" s="27"/>
    </row>
    <row r="8" spans="1:6" s="1" customFormat="1" ht="13">
      <c r="A8" s="4" t="s">
        <v>21</v>
      </c>
      <c r="B8" s="4"/>
      <c r="C8" s="6">
        <v>0</v>
      </c>
      <c r="D8" s="6">
        <v>0</v>
      </c>
      <c r="E8" s="27"/>
      <c r="F8" s="27"/>
    </row>
    <row r="9" spans="1:6" s="1" customFormat="1" ht="13">
      <c r="A9" s="4" t="s">
        <v>28</v>
      </c>
      <c r="B9" s="4"/>
      <c r="C9" s="6"/>
      <c r="D9" s="6"/>
      <c r="E9" s="27"/>
      <c r="F9" s="27"/>
    </row>
    <row r="10" spans="1:6" s="1" customFormat="1" ht="13">
      <c r="A10" s="35" t="s">
        <v>29</v>
      </c>
      <c r="B10" s="4"/>
      <c r="C10" s="6"/>
      <c r="D10" s="6"/>
      <c r="E10" s="27"/>
      <c r="F10" s="27"/>
    </row>
    <row r="11" spans="1:6" s="1" customFormat="1" ht="13">
      <c r="A11" s="4" t="s">
        <v>27</v>
      </c>
      <c r="B11" s="4"/>
      <c r="C11" s="6">
        <f>'OperMrgn qtrly'!C11</f>
        <v>0</v>
      </c>
      <c r="D11" s="6">
        <f>'OperMrgn qtrly'!G11</f>
        <v>2229000</v>
      </c>
      <c r="E11" s="6">
        <f>SUM('OperMrgn qtrly'!C11:F11)</f>
        <v>328000</v>
      </c>
      <c r="F11" s="6">
        <f>SUM('OperMrgn qtrly'!G11:J11)</f>
        <v>2229000</v>
      </c>
    </row>
    <row r="12" spans="1:6">
      <c r="A12" s="4" t="s">
        <v>44</v>
      </c>
      <c r="C12" s="6">
        <f>'OperMrgn qtrly'!C12</f>
        <v>0</v>
      </c>
      <c r="D12" s="6">
        <f>'OperMrgn qtrly'!G12</f>
        <v>0</v>
      </c>
      <c r="E12" s="6">
        <f>SUM('OperMrgn qtrly'!C12:F12)</f>
        <v>0</v>
      </c>
      <c r="F12" s="6">
        <f>SUM('OperMrgn qtrly'!G12:J12)</f>
        <v>975000</v>
      </c>
    </row>
    <row r="13" spans="1:6" s="1" customFormat="1" ht="13">
      <c r="A13" s="5" t="s">
        <v>111</v>
      </c>
      <c r="B13" s="4"/>
      <c r="C13" s="82">
        <f>SUM(C6:C11)</f>
        <v>210287</v>
      </c>
      <c r="D13" s="82">
        <f>SUM(D6:D11)</f>
        <v>-374891</v>
      </c>
      <c r="E13" s="82">
        <f>SUM(E6:E11)</f>
        <v>1041924</v>
      </c>
      <c r="F13" s="82">
        <f>SUM(F6:F11)</f>
        <v>-4771392</v>
      </c>
    </row>
    <row r="14" spans="1:6" s="1" customFormat="1" ht="8.25" customHeight="1">
      <c r="A14" s="5"/>
      <c r="B14" s="4"/>
      <c r="C14" s="27"/>
      <c r="D14" s="27"/>
      <c r="E14" s="27"/>
      <c r="F14" s="27"/>
    </row>
    <row r="15" spans="1:6" s="1" customFormat="1" ht="13">
      <c r="A15" s="5" t="s">
        <v>39</v>
      </c>
      <c r="B15" s="4"/>
      <c r="C15" s="29">
        <f>'OperMrgn qtrly'!C16</f>
        <v>9684842</v>
      </c>
      <c r="D15" s="29">
        <f>'OperMrgn qtrly'!G16</f>
        <v>7902846</v>
      </c>
      <c r="E15" s="29">
        <f>SUM('OperMrgn qtrly'!C16:F16)</f>
        <v>35940244</v>
      </c>
      <c r="F15" s="29">
        <f>SUM('OperMrgn qtrly'!G16:J16)</f>
        <v>29017243</v>
      </c>
    </row>
    <row r="16" spans="1:6" s="1" customFormat="1" ht="7.5" customHeight="1">
      <c r="A16" s="16"/>
      <c r="B16" s="2"/>
      <c r="C16" s="18"/>
      <c r="D16" s="18"/>
      <c r="E16" s="18"/>
      <c r="F16" s="18"/>
    </row>
    <row r="17" spans="1:6" s="1" customFormat="1" ht="13.5" thickBot="1">
      <c r="A17" s="16" t="s">
        <v>38</v>
      </c>
      <c r="B17" s="2"/>
      <c r="C17" s="55">
        <f>C6/C15</f>
        <v>2.1713002648881624E-2</v>
      </c>
      <c r="D17" s="55">
        <f>D6/D15</f>
        <v>-0.32948775668917246</v>
      </c>
      <c r="E17" s="55">
        <f>E6/E15</f>
        <v>1.986419457808912E-2</v>
      </c>
      <c r="F17" s="55">
        <f>F6/F15</f>
        <v>-0.24124938403004034</v>
      </c>
    </row>
    <row r="18" spans="1:6" s="1" customFormat="1" ht="15.75" customHeight="1" thickTop="1" thickBot="1">
      <c r="A18" s="17" t="s">
        <v>40</v>
      </c>
      <c r="B18" s="2"/>
      <c r="C18" s="56">
        <f t="shared" ref="C18:D18" si="0">C13/C15</f>
        <v>2.1713002648881624E-2</v>
      </c>
      <c r="D18" s="56">
        <f t="shared" si="0"/>
        <v>-4.7437467464252751E-2</v>
      </c>
      <c r="E18" s="56">
        <f t="shared" ref="E18:F18" si="1">E13/E15</f>
        <v>2.899045426625373E-2</v>
      </c>
      <c r="F18" s="56">
        <f t="shared" si="1"/>
        <v>-0.1644329890334516</v>
      </c>
    </row>
    <row r="19" spans="1:6" s="1" customFormat="1" ht="13.5" thickTop="1">
      <c r="A19" s="2"/>
      <c r="B19" s="2"/>
      <c r="C19" s="2"/>
      <c r="D19" s="2"/>
      <c r="E19" s="2"/>
      <c r="F19" s="2"/>
    </row>
  </sheetData>
  <mergeCells count="3">
    <mergeCell ref="A2:F2"/>
    <mergeCell ref="C4:D4"/>
    <mergeCell ref="E4:F4"/>
  </mergeCells>
  <pageMargins left="0.7" right="0.7" top="0.75" bottom="0.75" header="0.3" footer="0.3"/>
  <pageSetup orientation="landscape" r:id="rId1"/>
  <ignoredErrors>
    <ignoredError sqref="E11:F11" formulaRange="1"/>
  </ignoredErrors>
</worksheet>
</file>

<file path=xl/worksheets/sheet9.xml><?xml version="1.0" encoding="utf-8"?>
<worksheet xmlns="http://schemas.openxmlformats.org/spreadsheetml/2006/main" xmlns:r="http://schemas.openxmlformats.org/officeDocument/2006/relationships">
  <sheetPr>
    <tabColor rgb="FF92D050"/>
    <pageSetUpPr fitToPage="1"/>
  </sheetPr>
  <dimension ref="A1:N19"/>
  <sheetViews>
    <sheetView topLeftCell="A3" workbookViewId="0">
      <selection activeCell="C13" sqref="C13"/>
    </sheetView>
  </sheetViews>
  <sheetFormatPr defaultRowHeight="14.5"/>
  <cols>
    <col min="1" max="1" width="22" customWidth="1"/>
    <col min="2" max="2" width="1.81640625" customWidth="1"/>
    <col min="3" max="3" width="12.81640625" style="99" customWidth="1"/>
    <col min="4" max="7" width="12.81640625" customWidth="1"/>
    <col min="8" max="8" width="11.1796875" customWidth="1"/>
    <col min="9" max="9" width="11.7265625" customWidth="1"/>
    <col min="10" max="10" width="12" customWidth="1"/>
    <col min="11" max="12" width="11.453125" customWidth="1"/>
    <col min="13" max="13" width="11.1796875" customWidth="1"/>
    <col min="14" max="14" width="11.26953125" customWidth="1"/>
  </cols>
  <sheetData>
    <row r="1" spans="1:14" ht="18.5">
      <c r="A1" s="77" t="s">
        <v>17</v>
      </c>
      <c r="B1" s="13"/>
      <c r="C1" s="13"/>
      <c r="D1" s="13"/>
      <c r="E1" s="13"/>
      <c r="F1" s="13"/>
      <c r="G1" s="13"/>
      <c r="H1" s="13"/>
      <c r="I1" s="13"/>
      <c r="J1" s="13"/>
    </row>
    <row r="2" spans="1:14" ht="18.5">
      <c r="A2" s="14" t="s">
        <v>16</v>
      </c>
      <c r="B2" s="13"/>
      <c r="C2" s="13"/>
      <c r="D2" s="13"/>
      <c r="E2" s="13"/>
      <c r="F2" s="13"/>
      <c r="G2" s="13"/>
      <c r="H2" s="13"/>
      <c r="I2" s="13"/>
      <c r="J2" s="13"/>
    </row>
    <row r="3" spans="1:14" ht="15.75" customHeight="1">
      <c r="A3" s="12"/>
      <c r="B3" s="12"/>
      <c r="C3" s="12"/>
      <c r="D3" s="12"/>
      <c r="E3" s="12"/>
      <c r="F3" s="12"/>
      <c r="G3" s="12"/>
      <c r="H3" s="12"/>
      <c r="I3" s="12"/>
      <c r="J3" s="12"/>
    </row>
    <row r="4" spans="1:14" s="1" customFormat="1" ht="30.75" customHeight="1">
      <c r="A4" s="11"/>
      <c r="B4" s="11"/>
      <c r="C4" s="10" t="s">
        <v>129</v>
      </c>
      <c r="D4" s="10" t="s">
        <v>128</v>
      </c>
      <c r="E4" s="10" t="s">
        <v>108</v>
      </c>
      <c r="F4" s="10" t="s">
        <v>103</v>
      </c>
      <c r="G4" s="10" t="s">
        <v>19</v>
      </c>
      <c r="H4" s="10" t="s">
        <v>18</v>
      </c>
      <c r="I4" s="10" t="s">
        <v>15</v>
      </c>
      <c r="J4" s="10" t="s">
        <v>14</v>
      </c>
      <c r="K4" s="10" t="s">
        <v>13</v>
      </c>
      <c r="L4" s="10" t="s">
        <v>12</v>
      </c>
      <c r="M4" s="10" t="s">
        <v>11</v>
      </c>
      <c r="N4" s="10" t="s">
        <v>10</v>
      </c>
    </row>
    <row r="5" spans="1:14" s="1" customFormat="1" ht="13">
      <c r="A5" s="5" t="s">
        <v>104</v>
      </c>
      <c r="B5" s="4"/>
      <c r="C5" s="9">
        <f>'NetInc_Loss qtrly'!C6</f>
        <v>1677168</v>
      </c>
      <c r="D5" s="9">
        <f>-1015943</f>
        <v>-1015943</v>
      </c>
      <c r="E5" s="9">
        <v>153758</v>
      </c>
      <c r="F5" s="9">
        <v>39140</v>
      </c>
      <c r="G5" s="9">
        <f>-2772605</f>
        <v>-2772605</v>
      </c>
      <c r="H5" s="9">
        <f>-538618</f>
        <v>-538618</v>
      </c>
      <c r="I5" s="9">
        <f>-1821061</f>
        <v>-1821061</v>
      </c>
      <c r="J5" s="9">
        <f>-78954</f>
        <v>-78954</v>
      </c>
      <c r="K5" s="9">
        <f>-1923054</f>
        <v>-1923054</v>
      </c>
      <c r="L5" s="9">
        <f>-2514268</f>
        <v>-2514268</v>
      </c>
      <c r="M5" s="9">
        <f>-133131</f>
        <v>-133131</v>
      </c>
      <c r="N5" s="9">
        <f>-1886614</f>
        <v>-1886614</v>
      </c>
    </row>
    <row r="6" spans="1:14" s="1" customFormat="1" ht="13">
      <c r="A6" s="4" t="s">
        <v>8</v>
      </c>
      <c r="B6" s="4"/>
      <c r="C6" s="6">
        <f>-4212</f>
        <v>-4212</v>
      </c>
      <c r="D6" s="6">
        <f>-11082</f>
        <v>-11082</v>
      </c>
      <c r="E6" s="6">
        <f>-21661</f>
        <v>-21661</v>
      </c>
      <c r="F6" s="6">
        <f>-20166</f>
        <v>-20166</v>
      </c>
      <c r="G6" s="6">
        <f>-26877</f>
        <v>-26877</v>
      </c>
      <c r="H6" s="6">
        <f>-14029</f>
        <v>-14029</v>
      </c>
      <c r="I6" s="6">
        <f>-13286</f>
        <v>-13286</v>
      </c>
      <c r="J6" s="6">
        <f>-17867</f>
        <v>-17867</v>
      </c>
      <c r="K6" s="6">
        <f>-25519</f>
        <v>-25519</v>
      </c>
      <c r="L6" s="6">
        <f>-13936</f>
        <v>-13936</v>
      </c>
      <c r="M6" s="6">
        <f>-17469</f>
        <v>-17469</v>
      </c>
      <c r="N6" s="6">
        <f>-25310</f>
        <v>-25310</v>
      </c>
    </row>
    <row r="7" spans="1:14" s="1" customFormat="1" ht="13">
      <c r="A7" s="4" t="s">
        <v>7</v>
      </c>
      <c r="B7" s="4"/>
      <c r="C7" s="85">
        <v>47804</v>
      </c>
      <c r="D7" s="85">
        <v>61379</v>
      </c>
      <c r="E7" s="85">
        <v>25016</v>
      </c>
      <c r="F7" s="6">
        <v>23006</v>
      </c>
      <c r="G7" s="6">
        <v>13237</v>
      </c>
      <c r="H7" s="6">
        <v>10520</v>
      </c>
      <c r="I7" s="6">
        <v>49072</v>
      </c>
      <c r="J7" s="6">
        <v>11164</v>
      </c>
      <c r="K7" s="6">
        <v>3529</v>
      </c>
      <c r="L7" s="6">
        <v>9795</v>
      </c>
      <c r="M7" s="6">
        <v>9977</v>
      </c>
      <c r="N7" s="6">
        <v>12652</v>
      </c>
    </row>
    <row r="8" spans="1:14" s="1" customFormat="1" ht="13">
      <c r="A8" s="4" t="s">
        <v>6</v>
      </c>
      <c r="B8" s="4"/>
      <c r="C8" s="6">
        <v>6911</v>
      </c>
      <c r="D8" s="6">
        <v>6911</v>
      </c>
      <c r="E8" s="6">
        <v>6902</v>
      </c>
      <c r="F8" s="6">
        <v>6921</v>
      </c>
      <c r="G8" s="6">
        <v>12599</v>
      </c>
      <c r="H8" s="6">
        <v>0</v>
      </c>
      <c r="I8" s="6">
        <v>0</v>
      </c>
      <c r="J8" s="6">
        <v>0</v>
      </c>
      <c r="K8" s="6">
        <v>0</v>
      </c>
      <c r="L8" s="6">
        <v>0</v>
      </c>
      <c r="M8" s="6">
        <v>0</v>
      </c>
      <c r="N8" s="6">
        <v>0</v>
      </c>
    </row>
    <row r="9" spans="1:14" s="1" customFormat="1" ht="13">
      <c r="A9" s="4" t="s">
        <v>5</v>
      </c>
      <c r="B9" s="4"/>
      <c r="C9" s="6">
        <v>1094978</v>
      </c>
      <c r="D9" s="6">
        <v>1003610</v>
      </c>
      <c r="E9" s="6">
        <v>904580</v>
      </c>
      <c r="F9" s="6">
        <v>834006</v>
      </c>
      <c r="G9" s="6">
        <v>695609</v>
      </c>
      <c r="H9" s="6">
        <v>631330</v>
      </c>
      <c r="I9" s="6">
        <v>552990</v>
      </c>
      <c r="J9" s="6">
        <v>563125</v>
      </c>
      <c r="K9" s="6">
        <v>480703</v>
      </c>
      <c r="L9" s="6">
        <v>468611</v>
      </c>
      <c r="M9" s="6">
        <v>338358</v>
      </c>
      <c r="N9" s="6">
        <v>266306</v>
      </c>
    </row>
    <row r="10" spans="1:14" s="1" customFormat="1" ht="13">
      <c r="A10" s="4" t="s">
        <v>4</v>
      </c>
      <c r="B10" s="4"/>
      <c r="C10" s="6">
        <v>185600</v>
      </c>
      <c r="D10" s="6">
        <v>185600</v>
      </c>
      <c r="E10" s="6">
        <v>185600</v>
      </c>
      <c r="F10" s="6">
        <v>185600</v>
      </c>
      <c r="G10" s="6">
        <v>222100</v>
      </c>
      <c r="H10" s="6">
        <v>258600</v>
      </c>
      <c r="I10" s="6">
        <v>258600</v>
      </c>
      <c r="J10" s="6">
        <v>258600</v>
      </c>
      <c r="K10" s="6">
        <v>258600</v>
      </c>
      <c r="L10" s="6">
        <v>258600</v>
      </c>
      <c r="M10" s="6">
        <v>258600</v>
      </c>
      <c r="N10" s="6">
        <v>258600</v>
      </c>
    </row>
    <row r="11" spans="1:14" s="1" customFormat="1" ht="29.25" customHeight="1">
      <c r="A11" s="8" t="s">
        <v>3</v>
      </c>
      <c r="B11" s="4"/>
      <c r="C11" s="7">
        <f>-1517384</f>
        <v>-1517384</v>
      </c>
      <c r="D11" s="7">
        <v>1308954</v>
      </c>
      <c r="E11" s="7">
        <v>403635</v>
      </c>
      <c r="F11" s="7">
        <f>-463133</f>
        <v>-463133</v>
      </c>
      <c r="G11" s="7">
        <v>169755</v>
      </c>
      <c r="H11" s="6">
        <f>-95074</f>
        <v>-95074</v>
      </c>
      <c r="I11" s="6">
        <f>-151759</f>
        <v>-151759</v>
      </c>
      <c r="J11" s="6">
        <f>-1736609</f>
        <v>-1736609</v>
      </c>
      <c r="K11" s="6">
        <f>-35609</f>
        <v>-35609</v>
      </c>
      <c r="L11" s="7">
        <v>850740</v>
      </c>
      <c r="M11" s="6">
        <v>0</v>
      </c>
      <c r="N11" s="6">
        <v>0</v>
      </c>
    </row>
    <row r="12" spans="1:14" s="1" customFormat="1" ht="26">
      <c r="A12" s="8" t="s">
        <v>2</v>
      </c>
      <c r="B12" s="4"/>
      <c r="C12" s="6">
        <v>133674</v>
      </c>
      <c r="D12" s="6">
        <v>149009</v>
      </c>
      <c r="E12" s="6">
        <v>94891</v>
      </c>
      <c r="F12" s="6">
        <v>125333</v>
      </c>
      <c r="G12" s="6">
        <v>271303</v>
      </c>
      <c r="H12" s="6">
        <v>83300</v>
      </c>
      <c r="I12" s="6">
        <v>187044</v>
      </c>
      <c r="J12" s="6">
        <v>240453</v>
      </c>
      <c r="K12" s="6">
        <v>293381</v>
      </c>
      <c r="L12" s="6">
        <f>9090+54395-8802-54395</f>
        <v>288</v>
      </c>
      <c r="M12" s="6">
        <v>-6209</v>
      </c>
      <c r="N12" s="6">
        <v>69406</v>
      </c>
    </row>
    <row r="13" spans="1:14" s="1" customFormat="1" ht="23.25" customHeight="1">
      <c r="A13" s="8" t="s">
        <v>1</v>
      </c>
      <c r="B13" s="4"/>
      <c r="C13" s="6">
        <v>0</v>
      </c>
      <c r="D13" s="6">
        <v>0</v>
      </c>
      <c r="E13" s="6">
        <v>0</v>
      </c>
      <c r="F13" s="6">
        <v>0</v>
      </c>
      <c r="G13" s="6">
        <v>0</v>
      </c>
      <c r="H13" s="6">
        <v>0</v>
      </c>
      <c r="I13" s="6">
        <v>0</v>
      </c>
      <c r="J13" s="6">
        <v>0</v>
      </c>
      <c r="K13" s="6">
        <v>581900</v>
      </c>
      <c r="L13" s="6">
        <v>0</v>
      </c>
      <c r="M13" s="6">
        <v>0</v>
      </c>
      <c r="N13" s="6">
        <v>0</v>
      </c>
    </row>
    <row r="14" spans="1:14" s="1" customFormat="1" ht="13.5" thickBot="1">
      <c r="A14" s="5" t="s">
        <v>0</v>
      </c>
      <c r="B14" s="4"/>
      <c r="C14" s="15">
        <f t="shared" ref="C14:D14" si="0">SUM(C5:C13)</f>
        <v>1624539</v>
      </c>
      <c r="D14" s="15">
        <f t="shared" si="0"/>
        <v>1688438</v>
      </c>
      <c r="E14" s="15">
        <f t="shared" ref="E14:F14" si="1">SUM(E5:E13)</f>
        <v>1752721</v>
      </c>
      <c r="F14" s="15">
        <f t="shared" si="1"/>
        <v>730707</v>
      </c>
      <c r="G14" s="15">
        <f t="shared" ref="G14:H14" si="2">SUM(G5:G13)</f>
        <v>-1414879</v>
      </c>
      <c r="H14" s="15">
        <f t="shared" si="2"/>
        <v>336029</v>
      </c>
      <c r="I14" s="3">
        <f t="shared" ref="I14:N14" si="3">SUM(I5:I13)</f>
        <v>-938400</v>
      </c>
      <c r="J14" s="3">
        <f t="shared" si="3"/>
        <v>-760088</v>
      </c>
      <c r="K14" s="3">
        <f t="shared" si="3"/>
        <v>-366069</v>
      </c>
      <c r="L14" s="3">
        <f t="shared" si="3"/>
        <v>-940170</v>
      </c>
      <c r="M14" s="3">
        <f t="shared" si="3"/>
        <v>450126</v>
      </c>
      <c r="N14" s="3">
        <f t="shared" si="3"/>
        <v>-1304960</v>
      </c>
    </row>
    <row r="15" spans="1:14" s="1" customFormat="1" ht="13.5" thickTop="1">
      <c r="A15" s="2"/>
      <c r="B15" s="2"/>
      <c r="C15" s="2"/>
      <c r="D15" s="2"/>
      <c r="E15" s="2"/>
      <c r="F15" s="2"/>
      <c r="G15" s="2"/>
      <c r="H15" s="2"/>
      <c r="I15" s="2"/>
      <c r="J15" s="2"/>
      <c r="K15" s="2"/>
      <c r="L15" s="2"/>
      <c r="M15" s="2"/>
      <c r="N15" s="2"/>
    </row>
    <row r="16" spans="1:14" ht="15" thickBot="1">
      <c r="A16" s="5" t="s">
        <v>39</v>
      </c>
      <c r="C16" s="15">
        <f>'OperMrgn qtrly'!C16</f>
        <v>9684842</v>
      </c>
      <c r="D16" s="15">
        <f>'OperMrgn qtrly'!D16</f>
        <v>8980804</v>
      </c>
      <c r="E16" s="15">
        <f>'OperMrgn qtrly'!E16</f>
        <v>8884321</v>
      </c>
      <c r="F16" s="15">
        <f>'OperMrgn qtrly'!F16</f>
        <v>8390277</v>
      </c>
      <c r="G16" s="15">
        <f>'OperMrgn qtrly'!G16</f>
        <v>7902846</v>
      </c>
      <c r="H16" s="15">
        <f>'OperMrgn qtrly'!H16</f>
        <v>7527051</v>
      </c>
      <c r="I16" s="15">
        <f>'OperMrgn qtrly'!I16</f>
        <v>6881598</v>
      </c>
      <c r="J16" s="15">
        <f>'OperMrgn qtrly'!J16</f>
        <v>6705748</v>
      </c>
      <c r="K16" s="15">
        <f>'OperMrgn qtrly'!K16</f>
        <v>6888631</v>
      </c>
      <c r="L16" s="15">
        <f>'OperMrgn qtrly'!L16</f>
        <v>5522977</v>
      </c>
      <c r="M16" s="15">
        <f>'OperMrgn qtrly'!M16</f>
        <v>6016516</v>
      </c>
      <c r="N16" s="15">
        <f>'OperMrgn qtrly'!N16</f>
        <v>4440665</v>
      </c>
    </row>
    <row r="17" spans="1:14" ht="15" thickTop="1">
      <c r="C17" s="101">
        <f t="shared" ref="C17:N17" si="4">C14/C16</f>
        <v>0.16774037201639427</v>
      </c>
      <c r="D17" s="101">
        <f t="shared" si="4"/>
        <v>0.18800521645946175</v>
      </c>
      <c r="E17" s="101">
        <f t="shared" si="4"/>
        <v>0.19728249350738228</v>
      </c>
      <c r="F17" s="101">
        <f t="shared" si="4"/>
        <v>8.7089734939621188E-2</v>
      </c>
      <c r="G17" s="101">
        <f t="shared" si="4"/>
        <v>-0.17903410999024907</v>
      </c>
      <c r="H17" s="101">
        <f t="shared" si="4"/>
        <v>4.4642848839472456E-2</v>
      </c>
      <c r="I17" s="101">
        <f t="shared" si="4"/>
        <v>-0.13636367599502325</v>
      </c>
      <c r="J17" s="101">
        <f t="shared" si="4"/>
        <v>-0.11334872709204104</v>
      </c>
      <c r="K17" s="101">
        <f t="shared" si="4"/>
        <v>-5.314103774755826E-2</v>
      </c>
      <c r="L17" s="101">
        <f t="shared" si="4"/>
        <v>-0.17022884578371411</v>
      </c>
      <c r="M17" s="101">
        <f t="shared" si="4"/>
        <v>7.481505908070385E-2</v>
      </c>
      <c r="N17" s="101">
        <f t="shared" si="4"/>
        <v>-0.29386589621149084</v>
      </c>
    </row>
    <row r="19" spans="1:14">
      <c r="A19" s="99"/>
      <c r="C19" s="108"/>
    </row>
  </sheetData>
  <pageMargins left="0.7" right="0.7" top="0.75" bottom="0.75" header="0.3" footer="0.3"/>
  <pageSetup scale="7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Overview</vt:lpstr>
      <vt:lpstr>NetInc_Loss qtrly</vt:lpstr>
      <vt:lpstr>NetLoss Qtrly trend</vt:lpstr>
      <vt:lpstr>NetLoss  (fy)</vt:lpstr>
      <vt:lpstr>NetInc_Loss yryr</vt:lpstr>
      <vt:lpstr>NetLoss yryr</vt:lpstr>
      <vt:lpstr>OperMrgn qtrly</vt:lpstr>
      <vt:lpstr>OperMrgn yryr</vt:lpstr>
      <vt:lpstr>Adj. EBITDA qtrly</vt:lpstr>
      <vt:lpstr>Adj. EBITDA yryr</vt:lpstr>
      <vt:lpstr>Qtrly CashFlows FY12</vt:lpstr>
    </vt:vector>
  </TitlesOfParts>
  <Company>USA Technologies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vrosa</dc:creator>
  <cp:lastModifiedBy>vrosa</cp:lastModifiedBy>
  <cp:lastPrinted>2013-09-25T20:18:25Z</cp:lastPrinted>
  <dcterms:created xsi:type="dcterms:W3CDTF">2012-04-14T16:18:02Z</dcterms:created>
  <dcterms:modified xsi:type="dcterms:W3CDTF">2013-09-27T11:35:26Z</dcterms:modified>
</cp:coreProperties>
</file>